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202300"/>
  <mc:AlternateContent xmlns:mc="http://schemas.openxmlformats.org/markup-compatibility/2006">
    <mc:Choice Requires="x15">
      <x15ac:absPath xmlns:x15ac="http://schemas.microsoft.com/office/spreadsheetml/2010/11/ac" url="https://skyseaflyersl.sharepoint.com/sites/BODASELEGANCECOSTAMUJERES/Documentos compartidos/Formats to Plan/En/"/>
    </mc:Choice>
  </mc:AlternateContent>
  <xr:revisionPtr revIDLastSave="0" documentId="8_{6BF06072-460A-4671-B766-0F38A38A5E61}" xr6:coauthVersionLast="47" xr6:coauthVersionMax="47" xr10:uidLastSave="{00000000-0000-0000-0000-000000000000}"/>
  <workbookProtection workbookAlgorithmName="SHA-512" workbookHashValue="t+C/f0zizLLqE+LY8TprCPeJpoDYuHdbbNhw/cbZzuXlr6mRgN+45uCBxVM6C57D/w1gta3N4Bjx9kpOtcjq9g==" workbookSaltValue="JWKvee2YDddC0nwBcJkBgw==" workbookSpinCount="100000" lockStructure="1"/>
  <bookViews>
    <workbookView xWindow="-120" yWindow="-120" windowWidth="29040" windowHeight="15720" xr2:uid="{BCA17B06-A0D1-40E6-9493-AE7CFBFDE636}"/>
  </bookViews>
  <sheets>
    <sheet name="Planner" sheetId="1" r:id="rId1"/>
    <sheet name="Vendors" sheetId="7" state="hidden" r:id="rId2"/>
    <sheet name="Hotel" sheetId="5" state="hidden" r:id="rId3"/>
    <sheet name="Invoice" sheetId="3" state="hidden" r:id="rId4"/>
    <sheet name="Data" sheetId="2" state="hidden" r:id="rId5"/>
    <sheet name="BEO" sheetId="6" state="hidden" r:id="rId6"/>
    <sheet name="Data Ficha" sheetId="8" state="hidden" r:id="rId7"/>
  </sheets>
  <externalReferences>
    <externalReference r:id="rId8"/>
  </externalReferences>
  <definedNames>
    <definedName name="_xlnm._FilterDatabase" localSheetId="3" hidden="1">Invoice!$B$17:$H$142</definedName>
    <definedName name="Bridal">Data!$G$50:$G$52</definedName>
    <definedName name="Churchill">Data!$G$53:$G$56</definedName>
    <definedName name="Room">Data!$G$57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58" i="2" l="1"/>
  <c r="O257" i="2"/>
  <c r="O256" i="2"/>
  <c r="O255" i="2"/>
  <c r="O254" i="2"/>
  <c r="O252" i="2"/>
  <c r="O251" i="2"/>
  <c r="O250" i="2"/>
  <c r="R204" i="2"/>
  <c r="R202" i="2"/>
  <c r="R200" i="2"/>
  <c r="R198" i="2"/>
  <c r="Q196" i="2"/>
  <c r="T23" i="3"/>
  <c r="T26" i="3"/>
  <c r="T27" i="3"/>
  <c r="T28" i="3"/>
  <c r="T29" i="3"/>
  <c r="T30" i="3"/>
  <c r="T31" i="3"/>
  <c r="T39" i="3"/>
  <c r="T40" i="3"/>
  <c r="T47" i="3"/>
  <c r="T48" i="3"/>
  <c r="T83" i="3"/>
  <c r="T84" i="3"/>
  <c r="T85" i="3"/>
  <c r="T86" i="3"/>
  <c r="T87" i="3"/>
  <c r="T88" i="3"/>
  <c r="T89" i="3"/>
  <c r="T90" i="3"/>
  <c r="T91" i="3"/>
  <c r="T93" i="3"/>
  <c r="T94" i="3"/>
  <c r="T95" i="3"/>
  <c r="T126" i="3"/>
  <c r="T127" i="3"/>
  <c r="T137" i="3"/>
  <c r="T138" i="3"/>
  <c r="T19" i="3"/>
  <c r="B26" i="3"/>
  <c r="K78" i="3"/>
  <c r="K64" i="3"/>
  <c r="K113" i="3"/>
  <c r="E194" i="3"/>
  <c r="E193" i="3"/>
  <c r="Z109" i="3"/>
  <c r="U109" i="3"/>
  <c r="B24" i="3"/>
  <c r="AB109" i="3"/>
  <c r="AA109" i="3"/>
  <c r="W109" i="3"/>
  <c r="V109" i="3"/>
  <c r="B132" i="3" l="1"/>
  <c r="B73" i="3"/>
  <c r="K73" i="3" s="1"/>
  <c r="AI73" i="3"/>
  <c r="K115" i="3"/>
  <c r="J115" i="3"/>
  <c r="I115" i="3"/>
  <c r="F115" i="3"/>
  <c r="E109" i="3"/>
  <c r="B109" i="3"/>
  <c r="K109" i="3" s="1"/>
  <c r="J113" i="3"/>
  <c r="AG113" i="3" s="1"/>
  <c r="AH113" i="3" s="1"/>
  <c r="V113" i="3" s="1"/>
  <c r="I113" i="3"/>
  <c r="F113" i="3"/>
  <c r="K112" i="3"/>
  <c r="J112" i="3"/>
  <c r="AG112" i="3" s="1"/>
  <c r="I112" i="3"/>
  <c r="F112" i="3"/>
  <c r="I108" i="3"/>
  <c r="J108" i="3"/>
  <c r="AG108" i="3" s="1"/>
  <c r="K108" i="3"/>
  <c r="I110" i="3"/>
  <c r="J110" i="3"/>
  <c r="K110" i="3"/>
  <c r="I111" i="3"/>
  <c r="J111" i="3"/>
  <c r="AG111" i="3" s="1"/>
  <c r="K111" i="3"/>
  <c r="F108" i="3"/>
  <c r="B108" i="3"/>
  <c r="D108" i="3" s="1"/>
  <c r="K106" i="3"/>
  <c r="J106" i="3"/>
  <c r="AG106" i="3" s="1"/>
  <c r="I106" i="3"/>
  <c r="B81" i="3"/>
  <c r="I81" i="3" s="1"/>
  <c r="J78" i="3"/>
  <c r="AG78" i="3" s="1"/>
  <c r="I78" i="3"/>
  <c r="K77" i="3"/>
  <c r="J77" i="3"/>
  <c r="AG77" i="3" s="1"/>
  <c r="I77" i="3"/>
  <c r="K71" i="3"/>
  <c r="J71" i="3"/>
  <c r="AG71" i="3" s="1"/>
  <c r="I71" i="3"/>
  <c r="K70" i="3"/>
  <c r="J70" i="3"/>
  <c r="I70" i="3"/>
  <c r="J64" i="3"/>
  <c r="AG64" i="3" s="1"/>
  <c r="I64" i="3"/>
  <c r="K62" i="3"/>
  <c r="J62" i="3"/>
  <c r="AG62" i="3" s="1"/>
  <c r="I62" i="3"/>
  <c r="K45" i="3"/>
  <c r="J45" i="3"/>
  <c r="AG45" i="3" s="1"/>
  <c r="I45" i="3"/>
  <c r="K35" i="3"/>
  <c r="J35" i="3"/>
  <c r="AG35" i="3" s="1"/>
  <c r="I35" i="3"/>
  <c r="O21" i="3"/>
  <c r="O22" i="3"/>
  <c r="O20" i="3"/>
  <c r="P20" i="3" s="1"/>
  <c r="AI20" i="3" s="1"/>
  <c r="B131" i="3"/>
  <c r="B129" i="3"/>
  <c r="Q129" i="3" s="1"/>
  <c r="B128" i="3"/>
  <c r="R128" i="3" s="1"/>
  <c r="E68" i="1"/>
  <c r="G68" i="1"/>
  <c r="B54" i="3" s="1"/>
  <c r="AG20" i="3"/>
  <c r="AE21" i="3"/>
  <c r="AG21" i="3"/>
  <c r="AE22" i="3"/>
  <c r="AG22" i="3"/>
  <c r="AE23" i="3"/>
  <c r="AG23" i="3"/>
  <c r="AI23" i="3"/>
  <c r="AG24" i="3"/>
  <c r="AI24" i="3"/>
  <c r="AG25" i="3"/>
  <c r="AI25" i="3"/>
  <c r="AF26" i="3"/>
  <c r="AE26" i="3"/>
  <c r="AG26" i="3"/>
  <c r="AI26" i="3"/>
  <c r="AF27" i="3"/>
  <c r="AE27" i="3"/>
  <c r="AG27" i="3"/>
  <c r="AI27" i="3"/>
  <c r="AF28" i="3"/>
  <c r="AE28" i="3"/>
  <c r="AG28" i="3"/>
  <c r="AI28" i="3"/>
  <c r="AF29" i="3"/>
  <c r="AE29" i="3"/>
  <c r="AG29" i="3"/>
  <c r="AI29" i="3"/>
  <c r="AF30" i="3"/>
  <c r="AE30" i="3"/>
  <c r="AG30" i="3"/>
  <c r="AI30" i="3"/>
  <c r="AF31" i="3"/>
  <c r="AE31" i="3"/>
  <c r="AG31" i="3"/>
  <c r="AI31" i="3"/>
  <c r="AG32" i="3"/>
  <c r="AI32" i="3"/>
  <c r="AG33" i="3"/>
  <c r="AI33" i="3"/>
  <c r="AI34" i="3"/>
  <c r="AI35" i="3"/>
  <c r="AI36" i="3"/>
  <c r="AI37" i="3"/>
  <c r="AI38" i="3"/>
  <c r="AF39" i="3"/>
  <c r="AE39" i="3"/>
  <c r="AG39" i="3"/>
  <c r="AI39" i="3"/>
  <c r="AF40" i="3"/>
  <c r="AE40" i="3"/>
  <c r="AG40" i="3"/>
  <c r="AI40" i="3"/>
  <c r="AG41" i="3"/>
  <c r="AI41" i="3"/>
  <c r="AG43" i="3"/>
  <c r="AI44" i="3"/>
  <c r="AI45" i="3"/>
  <c r="AI46" i="3"/>
  <c r="AF47" i="3"/>
  <c r="AE47" i="3"/>
  <c r="AG47" i="3"/>
  <c r="AI47" i="3"/>
  <c r="AF48" i="3"/>
  <c r="AE48" i="3"/>
  <c r="AG48" i="3"/>
  <c r="AI48" i="3"/>
  <c r="AG49" i="3"/>
  <c r="AI49" i="3"/>
  <c r="AG50" i="3"/>
  <c r="AE51" i="3"/>
  <c r="AG51" i="3"/>
  <c r="AG52" i="3"/>
  <c r="AG53" i="3"/>
  <c r="AG54" i="3"/>
  <c r="AG55" i="3"/>
  <c r="AG56" i="3"/>
  <c r="AG57" i="3"/>
  <c r="AG58" i="3"/>
  <c r="AG59" i="3"/>
  <c r="AG60" i="3"/>
  <c r="AG61" i="3"/>
  <c r="AI62" i="3"/>
  <c r="AI63" i="3"/>
  <c r="AI64" i="3"/>
  <c r="AI65" i="3"/>
  <c r="AI66" i="3"/>
  <c r="AI67" i="3"/>
  <c r="AI68" i="3"/>
  <c r="AI69" i="3"/>
  <c r="AI70" i="3"/>
  <c r="AI71" i="3"/>
  <c r="AI72" i="3"/>
  <c r="AI74" i="3"/>
  <c r="AI75" i="3"/>
  <c r="AI76" i="3"/>
  <c r="AI77" i="3"/>
  <c r="AI78" i="3"/>
  <c r="AI79" i="3"/>
  <c r="AI80" i="3"/>
  <c r="AI81" i="3"/>
  <c r="AI82" i="3"/>
  <c r="AF83" i="3"/>
  <c r="AE83" i="3"/>
  <c r="AG83" i="3"/>
  <c r="AI83" i="3"/>
  <c r="AF84" i="3"/>
  <c r="AE84" i="3"/>
  <c r="AG84" i="3"/>
  <c r="AI84" i="3"/>
  <c r="AF85" i="3"/>
  <c r="AE85" i="3"/>
  <c r="AG85" i="3"/>
  <c r="AI85" i="3"/>
  <c r="AF86" i="3"/>
  <c r="AE86" i="3"/>
  <c r="AG86" i="3"/>
  <c r="AI86" i="3"/>
  <c r="AF87" i="3"/>
  <c r="AE87" i="3"/>
  <c r="AG87" i="3"/>
  <c r="AI87" i="3"/>
  <c r="AF88" i="3"/>
  <c r="AE88" i="3"/>
  <c r="AG88" i="3"/>
  <c r="AI88" i="3"/>
  <c r="AF89" i="3"/>
  <c r="AE89" i="3"/>
  <c r="AG89" i="3"/>
  <c r="AI89" i="3"/>
  <c r="AF90" i="3"/>
  <c r="AE90" i="3"/>
  <c r="AG90" i="3"/>
  <c r="AI90" i="3"/>
  <c r="AF91" i="3"/>
  <c r="AE91" i="3"/>
  <c r="AG91" i="3"/>
  <c r="AI91" i="3"/>
  <c r="AG92" i="3"/>
  <c r="AF93" i="3"/>
  <c r="AE93" i="3"/>
  <c r="AG93" i="3"/>
  <c r="AI93" i="3"/>
  <c r="AF94" i="3"/>
  <c r="AE94" i="3"/>
  <c r="AG94" i="3"/>
  <c r="AI94" i="3"/>
  <c r="AF95" i="3"/>
  <c r="AE95" i="3"/>
  <c r="AG95" i="3"/>
  <c r="AI95" i="3"/>
  <c r="AG96" i="3"/>
  <c r="AG97" i="3"/>
  <c r="AG98" i="3"/>
  <c r="AG99" i="3"/>
  <c r="AG100" i="3"/>
  <c r="AG101" i="3"/>
  <c r="AG102" i="3"/>
  <c r="AG103" i="3"/>
  <c r="AG104" i="3"/>
  <c r="AG105" i="3"/>
  <c r="AI106" i="3"/>
  <c r="AI107" i="3"/>
  <c r="AI108" i="3"/>
  <c r="AI110" i="3"/>
  <c r="AI111" i="3"/>
  <c r="AI112" i="3"/>
  <c r="AI113" i="3"/>
  <c r="AI115" i="3"/>
  <c r="AI116" i="3"/>
  <c r="AI117" i="3"/>
  <c r="AI118" i="3"/>
  <c r="AI119" i="3"/>
  <c r="AI120" i="3"/>
  <c r="AI121" i="3"/>
  <c r="AI122" i="3"/>
  <c r="AI123" i="3"/>
  <c r="AI124" i="3"/>
  <c r="AI125" i="3"/>
  <c r="AF126" i="3"/>
  <c r="AE126" i="3"/>
  <c r="AG126" i="3"/>
  <c r="AI126" i="3"/>
  <c r="AF127" i="3"/>
  <c r="AE127" i="3"/>
  <c r="AG127" i="3"/>
  <c r="AI127" i="3"/>
  <c r="AG128" i="3"/>
  <c r="AG129" i="3"/>
  <c r="AI130" i="3"/>
  <c r="AG131" i="3"/>
  <c r="AI131" i="3"/>
  <c r="AG132" i="3"/>
  <c r="AI132" i="3"/>
  <c r="AG133" i="3"/>
  <c r="AI133" i="3"/>
  <c r="AG134" i="3"/>
  <c r="AI134" i="3"/>
  <c r="AG135" i="3"/>
  <c r="AI135" i="3"/>
  <c r="AG136" i="3"/>
  <c r="AI136" i="3"/>
  <c r="W136" i="3" s="1"/>
  <c r="AF137" i="3"/>
  <c r="AE137" i="3"/>
  <c r="AG137" i="3"/>
  <c r="AI137" i="3"/>
  <c r="AF138" i="3"/>
  <c r="AE138" i="3"/>
  <c r="AG138" i="3"/>
  <c r="AI138" i="3"/>
  <c r="AI114" i="3"/>
  <c r="B32" i="3"/>
  <c r="D32" i="3" s="1"/>
  <c r="B71" i="3"/>
  <c r="D71" i="3" s="1"/>
  <c r="B68" i="3"/>
  <c r="I68" i="3" s="1"/>
  <c r="B64" i="3"/>
  <c r="B202" i="1"/>
  <c r="B201" i="1"/>
  <c r="F96" i="3"/>
  <c r="B96" i="3"/>
  <c r="D96" i="3" s="1"/>
  <c r="B88" i="3"/>
  <c r="B50" i="3"/>
  <c r="B41" i="3"/>
  <c r="C49" i="1"/>
  <c r="B49" i="3"/>
  <c r="B42" i="3"/>
  <c r="P7" i="8"/>
  <c r="D194" i="3"/>
  <c r="D193" i="3"/>
  <c r="AI19" i="3"/>
  <c r="AG19" i="3"/>
  <c r="AE19" i="3"/>
  <c r="U19" i="3" s="1"/>
  <c r="AF19" i="3"/>
  <c r="A162" i="3"/>
  <c r="V20" i="3" l="1"/>
  <c r="AG110" i="3"/>
  <c r="J73" i="3"/>
  <c r="AG73" i="3" s="1"/>
  <c r="AH73" i="3" s="1"/>
  <c r="V136" i="3"/>
  <c r="AA136" i="3"/>
  <c r="AA129" i="3"/>
  <c r="V129" i="3"/>
  <c r="AB124" i="3"/>
  <c r="W124" i="3"/>
  <c r="AB111" i="3"/>
  <c r="W111" i="3"/>
  <c r="AA98" i="3"/>
  <c r="V98" i="3"/>
  <c r="AA93" i="3"/>
  <c r="V93" i="3"/>
  <c r="AB89" i="3"/>
  <c r="W89" i="3"/>
  <c r="X89" i="3" s="1"/>
  <c r="W86" i="3"/>
  <c r="AB86" i="3"/>
  <c r="W83" i="3"/>
  <c r="AB83" i="3"/>
  <c r="AJ74" i="3"/>
  <c r="W74" i="3"/>
  <c r="AB74" i="3"/>
  <c r="V61" i="3"/>
  <c r="AA61" i="3"/>
  <c r="V50" i="3"/>
  <c r="AA50" i="3"/>
  <c r="W45" i="3"/>
  <c r="AB45" i="3"/>
  <c r="U31" i="3"/>
  <c r="Z31" i="3"/>
  <c r="Z28" i="3"/>
  <c r="U28" i="3"/>
  <c r="W24" i="3"/>
  <c r="AB24" i="3"/>
  <c r="W114" i="3"/>
  <c r="AB114" i="3"/>
  <c r="W135" i="3"/>
  <c r="AB135" i="3"/>
  <c r="AA128" i="3"/>
  <c r="V128" i="3"/>
  <c r="AB123" i="3"/>
  <c r="W123" i="3"/>
  <c r="AB110" i="3"/>
  <c r="W110" i="3"/>
  <c r="AH97" i="3"/>
  <c r="V97" i="3"/>
  <c r="AA97" i="3"/>
  <c r="Z93" i="3"/>
  <c r="U93" i="3"/>
  <c r="V89" i="3"/>
  <c r="AA89" i="3"/>
  <c r="AA86" i="3"/>
  <c r="V86" i="3"/>
  <c r="X86" i="3" s="1"/>
  <c r="V83" i="3"/>
  <c r="AA83" i="3"/>
  <c r="W72" i="3"/>
  <c r="AB72" i="3"/>
  <c r="AA60" i="3"/>
  <c r="V60" i="3"/>
  <c r="AB49" i="3"/>
  <c r="AC49" i="3" s="1"/>
  <c r="W49" i="3"/>
  <c r="W44" i="3"/>
  <c r="AB44" i="3"/>
  <c r="AB38" i="3"/>
  <c r="W38" i="3"/>
  <c r="AA24" i="3"/>
  <c r="V24" i="3"/>
  <c r="W138" i="3"/>
  <c r="AB138" i="3"/>
  <c r="AA135" i="3"/>
  <c r="V135" i="3"/>
  <c r="AB127" i="3"/>
  <c r="W127" i="3"/>
  <c r="X127" i="3" s="1"/>
  <c r="W122" i="3"/>
  <c r="AB122" i="3"/>
  <c r="W108" i="3"/>
  <c r="AB108" i="3"/>
  <c r="V96" i="3"/>
  <c r="AA96" i="3"/>
  <c r="U89" i="3"/>
  <c r="Z89" i="3"/>
  <c r="U86" i="3"/>
  <c r="Z86" i="3"/>
  <c r="U83" i="3"/>
  <c r="Z83" i="3"/>
  <c r="W71" i="3"/>
  <c r="AB71" i="3"/>
  <c r="AA59" i="3"/>
  <c r="V59" i="3"/>
  <c r="V49" i="3"/>
  <c r="AA49" i="3"/>
  <c r="V43" i="3"/>
  <c r="AA43" i="3"/>
  <c r="AB37" i="3"/>
  <c r="W37" i="3"/>
  <c r="W30" i="3"/>
  <c r="AB30" i="3"/>
  <c r="AJ27" i="3"/>
  <c r="AB27" i="3"/>
  <c r="W27" i="3"/>
  <c r="AJ23" i="3"/>
  <c r="AB23" i="3"/>
  <c r="W23" i="3"/>
  <c r="X23" i="3" s="1"/>
  <c r="V138" i="3"/>
  <c r="AA138" i="3"/>
  <c r="W134" i="3"/>
  <c r="AB134" i="3"/>
  <c r="V127" i="3"/>
  <c r="AA127" i="3"/>
  <c r="W121" i="3"/>
  <c r="AB121" i="3"/>
  <c r="W107" i="3"/>
  <c r="AB107" i="3"/>
  <c r="AJ95" i="3"/>
  <c r="AB95" i="3"/>
  <c r="W95" i="3"/>
  <c r="AA92" i="3"/>
  <c r="V92" i="3"/>
  <c r="W70" i="3"/>
  <c r="AB70" i="3"/>
  <c r="AA58" i="3"/>
  <c r="V58" i="3"/>
  <c r="AJ48" i="3"/>
  <c r="W48" i="3"/>
  <c r="AB48" i="3"/>
  <c r="AB41" i="3"/>
  <c r="W41" i="3"/>
  <c r="AB36" i="3"/>
  <c r="W36" i="3"/>
  <c r="AA30" i="3"/>
  <c r="V30" i="3"/>
  <c r="V27" i="3"/>
  <c r="AA27" i="3"/>
  <c r="AA23" i="3"/>
  <c r="V23" i="3"/>
  <c r="Z138" i="3"/>
  <c r="U138" i="3"/>
  <c r="AA134" i="3"/>
  <c r="V134" i="3"/>
  <c r="Z127" i="3"/>
  <c r="U127" i="3"/>
  <c r="W120" i="3"/>
  <c r="AB120" i="3"/>
  <c r="W106" i="3"/>
  <c r="AB106" i="3"/>
  <c r="AH95" i="3"/>
  <c r="AA95" i="3"/>
  <c r="V95" i="3"/>
  <c r="AB91" i="3"/>
  <c r="W91" i="3"/>
  <c r="AB88" i="3"/>
  <c r="W88" i="3"/>
  <c r="AJ85" i="3"/>
  <c r="W85" i="3"/>
  <c r="AB85" i="3"/>
  <c r="AJ82" i="3"/>
  <c r="W82" i="3"/>
  <c r="AB82" i="3"/>
  <c r="AJ69" i="3"/>
  <c r="W69" i="3"/>
  <c r="AB69" i="3"/>
  <c r="V57" i="3"/>
  <c r="AA57" i="3"/>
  <c r="AA48" i="3"/>
  <c r="V48" i="3"/>
  <c r="V41" i="3"/>
  <c r="AA41" i="3"/>
  <c r="AB35" i="3"/>
  <c r="W35" i="3"/>
  <c r="U30" i="3"/>
  <c r="Z30" i="3"/>
  <c r="Z27" i="3"/>
  <c r="U27" i="3"/>
  <c r="U23" i="3"/>
  <c r="Z23" i="3"/>
  <c r="Z19" i="3"/>
  <c r="W133" i="3"/>
  <c r="AB133" i="3"/>
  <c r="W119" i="3"/>
  <c r="AB119" i="3"/>
  <c r="AH105" i="3"/>
  <c r="AA105" i="3"/>
  <c r="V105" i="3"/>
  <c r="Z95" i="3"/>
  <c r="U95" i="3"/>
  <c r="AA91" i="3"/>
  <c r="V91" i="3"/>
  <c r="AA88" i="3"/>
  <c r="V88" i="3"/>
  <c r="AH85" i="3"/>
  <c r="V85" i="3"/>
  <c r="AA85" i="3"/>
  <c r="AB81" i="3"/>
  <c r="W81" i="3"/>
  <c r="AB68" i="3"/>
  <c r="W68" i="3"/>
  <c r="V56" i="3"/>
  <c r="AA56" i="3"/>
  <c r="Z48" i="3"/>
  <c r="U48" i="3"/>
  <c r="AJ40" i="3"/>
  <c r="AB40" i="3"/>
  <c r="W40" i="3"/>
  <c r="X40" i="3" s="1"/>
  <c r="AB34" i="3"/>
  <c r="W34" i="3"/>
  <c r="V22" i="3"/>
  <c r="AA22" i="3"/>
  <c r="AH19" i="3"/>
  <c r="V19" i="3"/>
  <c r="AA19" i="3"/>
  <c r="W137" i="3"/>
  <c r="X137" i="3" s="1"/>
  <c r="AB137" i="3"/>
  <c r="V133" i="3"/>
  <c r="AA133" i="3"/>
  <c r="AB126" i="3"/>
  <c r="W126" i="3"/>
  <c r="W118" i="3"/>
  <c r="AB118" i="3"/>
  <c r="AA104" i="3"/>
  <c r="V104" i="3"/>
  <c r="Z91" i="3"/>
  <c r="U91" i="3"/>
  <c r="U88" i="3"/>
  <c r="Z88" i="3"/>
  <c r="U85" i="3"/>
  <c r="Z85" i="3"/>
  <c r="W80" i="3"/>
  <c r="AB80" i="3"/>
  <c r="AB67" i="3"/>
  <c r="W67" i="3"/>
  <c r="AA55" i="3"/>
  <c r="V55" i="3"/>
  <c r="AA40" i="3"/>
  <c r="V40" i="3"/>
  <c r="AJ33" i="3"/>
  <c r="W33" i="3"/>
  <c r="X33" i="3" s="1"/>
  <c r="AB33" i="3"/>
  <c r="W29" i="3"/>
  <c r="AB29" i="3"/>
  <c r="W26" i="3"/>
  <c r="AB26" i="3"/>
  <c r="U22" i="3"/>
  <c r="Z22" i="3"/>
  <c r="AJ73" i="3"/>
  <c r="AB73" i="3"/>
  <c r="W73" i="3"/>
  <c r="AB19" i="3"/>
  <c r="W19" i="3"/>
  <c r="V137" i="3"/>
  <c r="AA137" i="3"/>
  <c r="AB132" i="3"/>
  <c r="W132" i="3"/>
  <c r="X132" i="3" s="1"/>
  <c r="V126" i="3"/>
  <c r="AA126" i="3"/>
  <c r="AB117" i="3"/>
  <c r="W117" i="3"/>
  <c r="V103" i="3"/>
  <c r="AA103" i="3"/>
  <c r="AB94" i="3"/>
  <c r="W94" i="3"/>
  <c r="AB79" i="3"/>
  <c r="W79" i="3"/>
  <c r="AJ66" i="3"/>
  <c r="AB66" i="3"/>
  <c r="W66" i="3"/>
  <c r="AA54" i="3"/>
  <c r="V54" i="3"/>
  <c r="W47" i="3"/>
  <c r="AB47" i="3"/>
  <c r="U40" i="3"/>
  <c r="Z40" i="3"/>
  <c r="AA33" i="3"/>
  <c r="V33" i="3"/>
  <c r="V29" i="3"/>
  <c r="AA29" i="3"/>
  <c r="V26" i="3"/>
  <c r="X26" i="3" s="1"/>
  <c r="AA26" i="3"/>
  <c r="AA21" i="3"/>
  <c r="V21" i="3"/>
  <c r="Z137" i="3"/>
  <c r="U137" i="3"/>
  <c r="AA132" i="3"/>
  <c r="V132" i="3"/>
  <c r="Z126" i="3"/>
  <c r="U126" i="3"/>
  <c r="AB116" i="3"/>
  <c r="W116" i="3"/>
  <c r="V102" i="3"/>
  <c r="AA102" i="3"/>
  <c r="AA94" i="3"/>
  <c r="V94" i="3"/>
  <c r="AB90" i="3"/>
  <c r="W90" i="3"/>
  <c r="AJ87" i="3"/>
  <c r="AB87" i="3"/>
  <c r="W87" i="3"/>
  <c r="W84" i="3"/>
  <c r="AB84" i="3"/>
  <c r="AB78" i="3"/>
  <c r="W78" i="3"/>
  <c r="AB65" i="3"/>
  <c r="W65" i="3"/>
  <c r="AA53" i="3"/>
  <c r="V53" i="3"/>
  <c r="V47" i="3"/>
  <c r="AA47" i="3"/>
  <c r="AB32" i="3"/>
  <c r="W32" i="3"/>
  <c r="X32" i="3" s="1"/>
  <c r="U29" i="3"/>
  <c r="Z29" i="3"/>
  <c r="Z26" i="3"/>
  <c r="U26" i="3"/>
  <c r="Z21" i="3"/>
  <c r="U21" i="3"/>
  <c r="AB136" i="3"/>
  <c r="W130" i="3"/>
  <c r="AB130" i="3"/>
  <c r="AB125" i="3"/>
  <c r="W125" i="3"/>
  <c r="AB112" i="3"/>
  <c r="W112" i="3"/>
  <c r="V99" i="3"/>
  <c r="AA99" i="3"/>
  <c r="AB93" i="3"/>
  <c r="W93" i="3"/>
  <c r="AB75" i="3"/>
  <c r="W75" i="3"/>
  <c r="AB62" i="3"/>
  <c r="W62" i="3"/>
  <c r="U51" i="3"/>
  <c r="Z51" i="3"/>
  <c r="W46" i="3"/>
  <c r="AB46" i="3"/>
  <c r="Z39" i="3"/>
  <c r="U39" i="3"/>
  <c r="AA31" i="3"/>
  <c r="V31" i="3"/>
  <c r="AA28" i="3"/>
  <c r="V28" i="3"/>
  <c r="AA25" i="3"/>
  <c r="V25" i="3"/>
  <c r="AB131" i="3"/>
  <c r="W131" i="3"/>
  <c r="W115" i="3"/>
  <c r="AB115" i="3"/>
  <c r="V101" i="3"/>
  <c r="AA101" i="3"/>
  <c r="Z94" i="3"/>
  <c r="U94" i="3"/>
  <c r="V90" i="3"/>
  <c r="AA90" i="3"/>
  <c r="V87" i="3"/>
  <c r="AA87" i="3"/>
  <c r="AH84" i="3"/>
  <c r="V84" i="3"/>
  <c r="AA84" i="3"/>
  <c r="AB77" i="3"/>
  <c r="W77" i="3"/>
  <c r="W64" i="3"/>
  <c r="AB64" i="3"/>
  <c r="AA52" i="3"/>
  <c r="V52" i="3"/>
  <c r="U47" i="3"/>
  <c r="Z47" i="3"/>
  <c r="AB39" i="3"/>
  <c r="W39" i="3"/>
  <c r="V32" i="3"/>
  <c r="AA32" i="3"/>
  <c r="AH20" i="3"/>
  <c r="AA20" i="3"/>
  <c r="AJ136" i="3"/>
  <c r="AA131" i="3"/>
  <c r="V131" i="3"/>
  <c r="AJ125" i="3"/>
  <c r="AB113" i="3"/>
  <c r="W113" i="3"/>
  <c r="AA100" i="3"/>
  <c r="V100" i="3"/>
  <c r="Z90" i="3"/>
  <c r="U90" i="3"/>
  <c r="Z87" i="3"/>
  <c r="U87" i="3"/>
  <c r="U84" i="3"/>
  <c r="Z84" i="3"/>
  <c r="AJ76" i="3"/>
  <c r="AB76" i="3"/>
  <c r="W76" i="3"/>
  <c r="AJ63" i="3"/>
  <c r="AB63" i="3"/>
  <c r="W63" i="3"/>
  <c r="V51" i="3"/>
  <c r="AA51" i="3"/>
  <c r="AA39" i="3"/>
  <c r="V39" i="3"/>
  <c r="W31" i="3"/>
  <c r="AB31" i="3"/>
  <c r="AB28" i="3"/>
  <c r="W28" i="3"/>
  <c r="W25" i="3"/>
  <c r="AB25" i="3"/>
  <c r="AF23" i="3"/>
  <c r="AJ113" i="3"/>
  <c r="AJ77" i="3"/>
  <c r="AJ120" i="3"/>
  <c r="AJ117" i="3"/>
  <c r="R129" i="3"/>
  <c r="AJ67" i="3"/>
  <c r="AJ138" i="3"/>
  <c r="AJ84" i="3"/>
  <c r="AJ79" i="3"/>
  <c r="AJ35" i="3"/>
  <c r="F73" i="3"/>
  <c r="G73" i="3" s="1"/>
  <c r="D73" i="3"/>
  <c r="I73" i="3"/>
  <c r="AH51" i="3"/>
  <c r="AH136" i="3"/>
  <c r="AJ72" i="3"/>
  <c r="AJ115" i="3"/>
  <c r="AH32" i="3"/>
  <c r="AJ123" i="3"/>
  <c r="AJ90" i="3"/>
  <c r="AH50" i="3"/>
  <c r="AH49" i="3"/>
  <c r="AJ38" i="3"/>
  <c r="AJ116" i="3"/>
  <c r="AH92" i="3"/>
  <c r="AH89" i="3"/>
  <c r="AJ86" i="3"/>
  <c r="AJ137" i="3"/>
  <c r="AJ37" i="3"/>
  <c r="AH31" i="3"/>
  <c r="AJ28" i="3"/>
  <c r="AH133" i="3"/>
  <c r="AH101" i="3"/>
  <c r="AH40" i="3"/>
  <c r="AH25" i="3"/>
  <c r="AH126" i="3"/>
  <c r="AJ111" i="3"/>
  <c r="AH61" i="3"/>
  <c r="AJ107" i="3"/>
  <c r="AJ127" i="3"/>
  <c r="AH96" i="3"/>
  <c r="AJ46" i="3"/>
  <c r="AJ39" i="3"/>
  <c r="AH24" i="3"/>
  <c r="AH108" i="3"/>
  <c r="AA108" i="3" s="1"/>
  <c r="AJ130" i="3"/>
  <c r="AJ118" i="3"/>
  <c r="AJ65" i="3"/>
  <c r="AJ32" i="3"/>
  <c r="K81" i="3"/>
  <c r="AH88" i="3"/>
  <c r="AJ41" i="3"/>
  <c r="AH23" i="3"/>
  <c r="AH135" i="3"/>
  <c r="AH94" i="3"/>
  <c r="AH132" i="3"/>
  <c r="AH93" i="3"/>
  <c r="AH83" i="3"/>
  <c r="AH56" i="3"/>
  <c r="AH22" i="3"/>
  <c r="AJ44" i="3"/>
  <c r="AJ30" i="3"/>
  <c r="AJ119" i="3"/>
  <c r="AJ89" i="3"/>
  <c r="AH87" i="3"/>
  <c r="AH54" i="3"/>
  <c r="AH33" i="3"/>
  <c r="AH21" i="3"/>
  <c r="N21" i="3"/>
  <c r="P21" i="3" s="1"/>
  <c r="J81" i="3"/>
  <c r="AG81" i="3" s="1"/>
  <c r="M129" i="3"/>
  <c r="N128" i="3"/>
  <c r="N129" i="3"/>
  <c r="I109" i="3"/>
  <c r="M128" i="3"/>
  <c r="O129" i="3"/>
  <c r="O128" i="3"/>
  <c r="Q128" i="3"/>
  <c r="AJ133" i="3"/>
  <c r="AH127" i="3"/>
  <c r="AJ124" i="3"/>
  <c r="AJ110" i="3"/>
  <c r="AH104" i="3"/>
  <c r="AJ91" i="3"/>
  <c r="AJ68" i="3"/>
  <c r="AJ62" i="3"/>
  <c r="AH55" i="3"/>
  <c r="AJ49" i="3"/>
  <c r="AH30" i="3"/>
  <c r="AH28" i="3"/>
  <c r="AH103" i="3"/>
  <c r="AH91" i="3"/>
  <c r="AJ75" i="3"/>
  <c r="AH138" i="3"/>
  <c r="AJ108" i="3"/>
  <c r="AJ81" i="3"/>
  <c r="AJ132" i="3"/>
  <c r="AJ126" i="3"/>
  <c r="AH102" i="3"/>
  <c r="AJ93" i="3"/>
  <c r="AH60" i="3"/>
  <c r="AJ45" i="3"/>
  <c r="AJ29" i="3"/>
  <c r="AJ135" i="3"/>
  <c r="AH129" i="3"/>
  <c r="AJ122" i="3"/>
  <c r="AJ80" i="3"/>
  <c r="AH52" i="3"/>
  <c r="AH48" i="3"/>
  <c r="AJ36" i="3"/>
  <c r="AH27" i="3"/>
  <c r="AJ24" i="3"/>
  <c r="D109" i="3"/>
  <c r="AJ131" i="3"/>
  <c r="AJ112" i="3"/>
  <c r="AJ83" i="3"/>
  <c r="AJ71" i="3"/>
  <c r="AJ64" i="3"/>
  <c r="AH57" i="3"/>
  <c r="AH43" i="3"/>
  <c r="F109" i="3"/>
  <c r="G109" i="3" s="1"/>
  <c r="AH137" i="3"/>
  <c r="AJ134" i="3"/>
  <c r="AJ121" i="3"/>
  <c r="AJ106" i="3"/>
  <c r="AH99" i="3"/>
  <c r="AJ94" i="3"/>
  <c r="AJ47" i="3"/>
  <c r="AH39" i="3"/>
  <c r="AJ26" i="3"/>
  <c r="J109" i="3"/>
  <c r="AJ114" i="3"/>
  <c r="AH134" i="3"/>
  <c r="AH131" i="3"/>
  <c r="AH128" i="3"/>
  <c r="AH90" i="3"/>
  <c r="AJ70" i="3"/>
  <c r="AH58" i="3"/>
  <c r="AJ34" i="3"/>
  <c r="AJ31" i="3"/>
  <c r="AH26" i="3"/>
  <c r="K68" i="3"/>
  <c r="J68" i="3"/>
  <c r="AG68" i="3" s="1"/>
  <c r="AH110" i="3"/>
  <c r="V110" i="3" s="1"/>
  <c r="AH100" i="3"/>
  <c r="AH29" i="3"/>
  <c r="AH112" i="3"/>
  <c r="AH111" i="3"/>
  <c r="V111" i="3" s="1"/>
  <c r="AH106" i="3"/>
  <c r="AA106" i="3" s="1"/>
  <c r="AH78" i="3"/>
  <c r="AH77" i="3"/>
  <c r="V77" i="3" s="1"/>
  <c r="AH71" i="3"/>
  <c r="AH64" i="3"/>
  <c r="AA64" i="3" s="1"/>
  <c r="AH62" i="3"/>
  <c r="AA62" i="3" s="1"/>
  <c r="AH45" i="3"/>
  <c r="AA45" i="3" s="1"/>
  <c r="AG42" i="3"/>
  <c r="D42" i="3"/>
  <c r="AH35" i="3"/>
  <c r="AJ20" i="3"/>
  <c r="AB20" i="3" s="1"/>
  <c r="B53" i="3"/>
  <c r="AJ88" i="3"/>
  <c r="AH86" i="3"/>
  <c r="AH98" i="3"/>
  <c r="AJ78" i="3"/>
  <c r="AJ25" i="3"/>
  <c r="AH59" i="3"/>
  <c r="AH53" i="3"/>
  <c r="AH47" i="3"/>
  <c r="AH41" i="3"/>
  <c r="X136" i="3"/>
  <c r="R96" i="3"/>
  <c r="Q96" i="3" s="1"/>
  <c r="B97" i="3"/>
  <c r="F194" i="3"/>
  <c r="G194" i="3" s="1"/>
  <c r="F193" i="3"/>
  <c r="G193" i="3" s="1"/>
  <c r="AJ19" i="3"/>
  <c r="AC89" i="3" l="1"/>
  <c r="X91" i="3"/>
  <c r="AC138" i="3"/>
  <c r="AC32" i="3"/>
  <c r="X138" i="3"/>
  <c r="Y138" i="3" s="1"/>
  <c r="X28" i="3"/>
  <c r="T73" i="3"/>
  <c r="AF73" i="3" s="1"/>
  <c r="X47" i="3"/>
  <c r="Y47" i="3" s="1"/>
  <c r="T109" i="3"/>
  <c r="X84" i="3"/>
  <c r="Y84" i="3" s="1"/>
  <c r="X24" i="3"/>
  <c r="X87" i="3"/>
  <c r="Y87" i="3" s="1"/>
  <c r="AC48" i="3"/>
  <c r="AD48" i="3" s="1"/>
  <c r="W20" i="3"/>
  <c r="X20" i="3" s="1"/>
  <c r="X83" i="3"/>
  <c r="Y83" i="3" s="1"/>
  <c r="AC126" i="3"/>
  <c r="AD126" i="3" s="1"/>
  <c r="X94" i="3"/>
  <c r="Y94" i="3" s="1"/>
  <c r="X31" i="3"/>
  <c r="X126" i="3"/>
  <c r="Y126" i="3" s="1"/>
  <c r="AC83" i="3"/>
  <c r="AD83" i="3" s="1"/>
  <c r="AC108" i="3"/>
  <c r="X131" i="3"/>
  <c r="X39" i="3"/>
  <c r="Y39" i="3" s="1"/>
  <c r="AA111" i="3"/>
  <c r="AC111" i="3" s="1"/>
  <c r="V108" i="3"/>
  <c r="X108" i="3" s="1"/>
  <c r="AE73" i="3"/>
  <c r="U73" i="3" s="1"/>
  <c r="X90" i="3"/>
  <c r="Y90" i="3" s="1"/>
  <c r="AC94" i="3"/>
  <c r="AD94" i="3" s="1"/>
  <c r="AC62" i="3"/>
  <c r="AC64" i="3"/>
  <c r="X30" i="3"/>
  <c r="Y30" i="3" s="1"/>
  <c r="X88" i="3"/>
  <c r="Y88" i="3" s="1"/>
  <c r="X41" i="3"/>
  <c r="AC87" i="3"/>
  <c r="AD87" i="3" s="1"/>
  <c r="AC88" i="3"/>
  <c r="AD88" i="3" s="1"/>
  <c r="X48" i="3"/>
  <c r="Y48" i="3" s="1"/>
  <c r="Y137" i="3"/>
  <c r="Y31" i="3"/>
  <c r="V73" i="3"/>
  <c r="X73" i="3" s="1"/>
  <c r="X134" i="3"/>
  <c r="Y86" i="3"/>
  <c r="AC85" i="3"/>
  <c r="AD85" i="3" s="1"/>
  <c r="AC31" i="3"/>
  <c r="AD31" i="3" s="1"/>
  <c r="V62" i="3"/>
  <c r="X62" i="3" s="1"/>
  <c r="Y91" i="3"/>
  <c r="AA73" i="3"/>
  <c r="AC73" i="3" s="1"/>
  <c r="Y23" i="3"/>
  <c r="Y127" i="3"/>
  <c r="AC95" i="3"/>
  <c r="AD95" i="3" s="1"/>
  <c r="X29" i="3"/>
  <c r="Y29" i="3" s="1"/>
  <c r="AC45" i="3"/>
  <c r="X133" i="3"/>
  <c r="X27" i="3"/>
  <c r="Y27" i="3" s="1"/>
  <c r="X25" i="3"/>
  <c r="AC131" i="3"/>
  <c r="X49" i="3"/>
  <c r="X135" i="3"/>
  <c r="X93" i="3"/>
  <c r="Y93" i="3" s="1"/>
  <c r="Y26" i="3"/>
  <c r="Y40" i="3"/>
  <c r="Y28" i="3"/>
  <c r="AC84" i="3"/>
  <c r="AD84" i="3" s="1"/>
  <c r="AC26" i="3"/>
  <c r="AD26" i="3" s="1"/>
  <c r="AC19" i="3"/>
  <c r="AC106" i="3"/>
  <c r="V45" i="3"/>
  <c r="X45" i="3" s="1"/>
  <c r="V106" i="3"/>
  <c r="X106" i="3" s="1"/>
  <c r="AC40" i="3"/>
  <c r="AD40" i="3" s="1"/>
  <c r="AC133" i="3"/>
  <c r="X77" i="3"/>
  <c r="AC20" i="3"/>
  <c r="AD138" i="3"/>
  <c r="AC93" i="3"/>
  <c r="AD93" i="3" s="1"/>
  <c r="AA71" i="3"/>
  <c r="AC71" i="3" s="1"/>
  <c r="X111" i="3"/>
  <c r="Y89" i="3"/>
  <c r="AA81" i="3"/>
  <c r="AC81" i="3" s="1"/>
  <c r="V81" i="3"/>
  <c r="X19" i="3"/>
  <c r="Y19" i="3" s="1"/>
  <c r="AC41" i="3"/>
  <c r="AC39" i="3"/>
  <c r="AD39" i="3" s="1"/>
  <c r="AC25" i="3"/>
  <c r="AC27" i="3"/>
  <c r="AD27" i="3" s="1"/>
  <c r="AC127" i="3"/>
  <c r="AD127" i="3" s="1"/>
  <c r="AC86" i="3"/>
  <c r="AD86" i="3" s="1"/>
  <c r="AA77" i="3"/>
  <c r="AC77" i="3" s="1"/>
  <c r="V71" i="3"/>
  <c r="X71" i="3" s="1"/>
  <c r="X113" i="3"/>
  <c r="AA42" i="3"/>
  <c r="V42" i="3"/>
  <c r="AC23" i="3"/>
  <c r="AD23" i="3" s="1"/>
  <c r="AC24" i="3"/>
  <c r="AC47" i="3"/>
  <c r="AD47" i="3" s="1"/>
  <c r="AC33" i="3"/>
  <c r="AC91" i="3"/>
  <c r="AD91" i="3" s="1"/>
  <c r="AA113" i="3"/>
  <c r="AC113" i="3" s="1"/>
  <c r="AC137" i="3"/>
  <c r="AD137" i="3" s="1"/>
  <c r="X110" i="3"/>
  <c r="V78" i="3"/>
  <c r="X78" i="3" s="1"/>
  <c r="AC132" i="3"/>
  <c r="AA78" i="3"/>
  <c r="AC78" i="3" s="1"/>
  <c r="AC28" i="3"/>
  <c r="AD28" i="3" s="1"/>
  <c r="AA112" i="3"/>
  <c r="AC112" i="3" s="1"/>
  <c r="AD89" i="3"/>
  <c r="AC136" i="3"/>
  <c r="AA68" i="3"/>
  <c r="AC68" i="3" s="1"/>
  <c r="V68" i="3"/>
  <c r="X68" i="3" s="1"/>
  <c r="AA110" i="3"/>
  <c r="AC110" i="3" s="1"/>
  <c r="V64" i="3"/>
  <c r="X64" i="3" s="1"/>
  <c r="AC90" i="3"/>
  <c r="AD90" i="3" s="1"/>
  <c r="AC29" i="3"/>
  <c r="AD29" i="3" s="1"/>
  <c r="V112" i="3"/>
  <c r="X112" i="3" s="1"/>
  <c r="AC134" i="3"/>
  <c r="AC30" i="3"/>
  <c r="AD30" i="3" s="1"/>
  <c r="AC135" i="3"/>
  <c r="AA35" i="3"/>
  <c r="AC35" i="3" s="1"/>
  <c r="V35" i="3"/>
  <c r="X35" i="3" s="1"/>
  <c r="X95" i="3"/>
  <c r="Y95" i="3" s="1"/>
  <c r="AH81" i="3"/>
  <c r="X85" i="3"/>
  <c r="Y85" i="3" s="1"/>
  <c r="P129" i="3"/>
  <c r="AI129" i="3" s="1"/>
  <c r="P128" i="3"/>
  <c r="AI128" i="3" s="1"/>
  <c r="AH68" i="3"/>
  <c r="AH42" i="3"/>
  <c r="AI21" i="3"/>
  <c r="M96" i="3"/>
  <c r="O96" i="3"/>
  <c r="F97" i="3"/>
  <c r="D97" i="3"/>
  <c r="Z73" i="3" l="1"/>
  <c r="AD73" i="3" s="1"/>
  <c r="Y73" i="3"/>
  <c r="AD19" i="3"/>
  <c r="X81" i="3"/>
  <c r="AJ128" i="3"/>
  <c r="AB128" i="3"/>
  <c r="AC128" i="3" s="1"/>
  <c r="W128" i="3"/>
  <c r="AB129" i="3"/>
  <c r="AC129" i="3" s="1"/>
  <c r="W129" i="3"/>
  <c r="AJ21" i="3"/>
  <c r="AB21" i="3" s="1"/>
  <c r="AC21" i="3" s="1"/>
  <c r="AD21" i="3" s="1"/>
  <c r="AJ129" i="3"/>
  <c r="R97" i="3"/>
  <c r="W21" i="3" l="1"/>
  <c r="X21" i="3" s="1"/>
  <c r="Y21" i="3" s="1"/>
  <c r="X128" i="3"/>
  <c r="X129" i="3"/>
  <c r="Q97" i="3"/>
  <c r="M97" i="3"/>
  <c r="O97" i="3"/>
  <c r="F32" i="3" l="1"/>
  <c r="G32" i="3" s="1"/>
  <c r="T32" i="3" s="1"/>
  <c r="B93" i="3"/>
  <c r="B90" i="3"/>
  <c r="B87" i="3"/>
  <c r="B130" i="3"/>
  <c r="B78" i="3"/>
  <c r="B77" i="3"/>
  <c r="B70" i="3"/>
  <c r="B62" i="3"/>
  <c r="B45" i="3"/>
  <c r="D45" i="3" s="1"/>
  <c r="B35" i="3"/>
  <c r="E248" i="1"/>
  <c r="B248" i="1"/>
  <c r="B115" i="3"/>
  <c r="B113" i="3"/>
  <c r="B112" i="3"/>
  <c r="B106" i="3"/>
  <c r="B95" i="3"/>
  <c r="B92" i="3"/>
  <c r="D92" i="3" s="1"/>
  <c r="B91" i="3"/>
  <c r="E81" i="3"/>
  <c r="I68" i="1"/>
  <c r="B67" i="3" s="1"/>
  <c r="F68" i="3"/>
  <c r="B25" i="3"/>
  <c r="D25" i="3" s="1"/>
  <c r="I147" i="1"/>
  <c r="AE32" i="3" l="1"/>
  <c r="AF32" i="3"/>
  <c r="K130" i="3"/>
  <c r="J130" i="3"/>
  <c r="AG130" i="3" s="1"/>
  <c r="I130" i="3"/>
  <c r="AG115" i="3"/>
  <c r="F67" i="3"/>
  <c r="K67" i="3"/>
  <c r="I67" i="3"/>
  <c r="J67" i="3"/>
  <c r="AG67" i="3" s="1"/>
  <c r="D35" i="3"/>
  <c r="AG70" i="3"/>
  <c r="R42" i="3"/>
  <c r="O42" i="3" s="1"/>
  <c r="D67" i="3"/>
  <c r="E67" i="3"/>
  <c r="B52" i="3"/>
  <c r="E54" i="3"/>
  <c r="R54" i="3" s="1"/>
  <c r="F106" i="3"/>
  <c r="G106" i="3" s="1"/>
  <c r="E161" i="1"/>
  <c r="E107" i="3" s="1"/>
  <c r="E90" i="1"/>
  <c r="C90" i="1" s="1"/>
  <c r="E56" i="1"/>
  <c r="E36" i="1"/>
  <c r="C36" i="1" s="1"/>
  <c r="E43" i="3"/>
  <c r="N43" i="3" s="1"/>
  <c r="E52" i="3"/>
  <c r="N52" i="3" s="1"/>
  <c r="F50" i="3"/>
  <c r="D50" i="3"/>
  <c r="E51" i="3"/>
  <c r="N51" i="3" s="1"/>
  <c r="B51" i="3"/>
  <c r="D51" i="3" s="1"/>
  <c r="B43" i="3"/>
  <c r="F43" i="3" s="1"/>
  <c r="F129" i="3"/>
  <c r="G129" i="3" s="1"/>
  <c r="E147" i="1"/>
  <c r="D115" i="3"/>
  <c r="F173" i="3"/>
  <c r="D112" i="3"/>
  <c r="D113" i="3"/>
  <c r="F92" i="3"/>
  <c r="F85" i="3"/>
  <c r="F78" i="3"/>
  <c r="F77" i="3"/>
  <c r="D78" i="3"/>
  <c r="D77" i="3"/>
  <c r="F71" i="3"/>
  <c r="F70" i="3"/>
  <c r="D70" i="3"/>
  <c r="F64" i="3"/>
  <c r="F62" i="3"/>
  <c r="F45" i="3"/>
  <c r="F42" i="3"/>
  <c r="F35" i="3"/>
  <c r="D68" i="3"/>
  <c r="D64" i="3"/>
  <c r="D62" i="3"/>
  <c r="B133" i="3"/>
  <c r="D133" i="3" s="1"/>
  <c r="B134" i="3"/>
  <c r="D134" i="3" s="1"/>
  <c r="B135" i="3"/>
  <c r="D135" i="3" s="1"/>
  <c r="B136" i="3"/>
  <c r="D136" i="3" s="1"/>
  <c r="F132" i="3"/>
  <c r="G132" i="3" s="1"/>
  <c r="F25" i="3"/>
  <c r="G25" i="3" s="1"/>
  <c r="T25" i="3" s="1"/>
  <c r="F24" i="3"/>
  <c r="D24" i="3"/>
  <c r="B56" i="3"/>
  <c r="B57" i="3"/>
  <c r="B58" i="3"/>
  <c r="B59" i="3"/>
  <c r="E59" i="3" s="1"/>
  <c r="N59" i="3" s="1"/>
  <c r="D154" i="6"/>
  <c r="D144" i="6"/>
  <c r="B162" i="6"/>
  <c r="B161" i="6"/>
  <c r="B160" i="6"/>
  <c r="B159" i="6"/>
  <c r="B158" i="6"/>
  <c r="B157" i="6"/>
  <c r="B156" i="6"/>
  <c r="B155" i="6"/>
  <c r="B154" i="6"/>
  <c r="D153" i="6"/>
  <c r="B153" i="6"/>
  <c r="J142" i="6"/>
  <c r="I147" i="6"/>
  <c r="I146" i="6"/>
  <c r="I145" i="6"/>
  <c r="H147" i="6"/>
  <c r="H146" i="6"/>
  <c r="H145" i="6"/>
  <c r="B145" i="6"/>
  <c r="B144" i="6"/>
  <c r="D115" i="6"/>
  <c r="B123" i="6"/>
  <c r="B122" i="6"/>
  <c r="B121" i="6"/>
  <c r="B120" i="6"/>
  <c r="B119" i="6"/>
  <c r="B118" i="6"/>
  <c r="B117" i="6"/>
  <c r="B116" i="6"/>
  <c r="B115" i="6"/>
  <c r="B92" i="6"/>
  <c r="B91" i="6"/>
  <c r="L4" i="6"/>
  <c r="F7" i="6"/>
  <c r="F6" i="6"/>
  <c r="B125" i="3"/>
  <c r="B124" i="3"/>
  <c r="B123" i="3"/>
  <c r="B122" i="3"/>
  <c r="G108" i="3"/>
  <c r="T108" i="3" s="1"/>
  <c r="B121" i="3"/>
  <c r="B120" i="3"/>
  <c r="B119" i="3"/>
  <c r="B118" i="3"/>
  <c r="B117" i="3"/>
  <c r="B116" i="3"/>
  <c r="B114" i="3"/>
  <c r="B111" i="3"/>
  <c r="F111" i="3" s="1"/>
  <c r="G111" i="3" s="1"/>
  <c r="B110" i="3"/>
  <c r="F110" i="3" s="1"/>
  <c r="G110" i="3" s="1"/>
  <c r="B100" i="3"/>
  <c r="D100" i="3" s="1"/>
  <c r="B101" i="3"/>
  <c r="F101" i="3" s="1"/>
  <c r="B102" i="3"/>
  <c r="F102" i="3" s="1"/>
  <c r="B103" i="3"/>
  <c r="F103" i="3" s="1"/>
  <c r="B104" i="3"/>
  <c r="F104" i="3" s="1"/>
  <c r="B105" i="3"/>
  <c r="D105" i="3" s="1"/>
  <c r="B99" i="3"/>
  <c r="D99" i="3" s="1"/>
  <c r="B82" i="3"/>
  <c r="F81" i="3"/>
  <c r="B80" i="3"/>
  <c r="B79" i="3"/>
  <c r="B76" i="3"/>
  <c r="B75" i="3"/>
  <c r="B74" i="3"/>
  <c r="B72" i="3"/>
  <c r="D72" i="3" s="1"/>
  <c r="B69" i="3"/>
  <c r="B66" i="3"/>
  <c r="B65" i="3"/>
  <c r="B61" i="3"/>
  <c r="D61" i="3" s="1"/>
  <c r="B60" i="3"/>
  <c r="D60" i="3" s="1"/>
  <c r="B55" i="3"/>
  <c r="F55" i="3" s="1"/>
  <c r="B44" i="3"/>
  <c r="B20" i="3"/>
  <c r="B38" i="3"/>
  <c r="B37" i="3"/>
  <c r="B34" i="3"/>
  <c r="B33" i="3"/>
  <c r="D33" i="3" s="1"/>
  <c r="G5" i="7"/>
  <c r="K3" i="7"/>
  <c r="K2" i="7"/>
  <c r="S3" i="7"/>
  <c r="R3" i="7"/>
  <c r="Q5" i="7"/>
  <c r="Q3" i="7"/>
  <c r="Q2" i="7"/>
  <c r="P5" i="7"/>
  <c r="P2" i="7"/>
  <c r="O5" i="7"/>
  <c r="O2" i="7"/>
  <c r="N5" i="7"/>
  <c r="N2" i="7"/>
  <c r="M6" i="7"/>
  <c r="M5" i="7"/>
  <c r="M2" i="7"/>
  <c r="L6" i="7"/>
  <c r="K5" i="7"/>
  <c r="J5" i="7"/>
  <c r="J4" i="7"/>
  <c r="J3" i="7"/>
  <c r="J2" i="7"/>
  <c r="I5" i="7"/>
  <c r="I4" i="7"/>
  <c r="I3" i="7"/>
  <c r="I2" i="7"/>
  <c r="H5" i="7"/>
  <c r="H3" i="7"/>
  <c r="H2" i="7"/>
  <c r="F5" i="7"/>
  <c r="F4" i="7"/>
  <c r="F3" i="7"/>
  <c r="F2" i="7"/>
  <c r="R2" i="7"/>
  <c r="G2" i="7"/>
  <c r="R5" i="7"/>
  <c r="C5" i="7"/>
  <c r="C4" i="7"/>
  <c r="C3" i="7"/>
  <c r="C2" i="7"/>
  <c r="B5" i="7"/>
  <c r="A5" i="7"/>
  <c r="B4" i="7"/>
  <c r="A4" i="7"/>
  <c r="B3" i="7"/>
  <c r="A3" i="7"/>
  <c r="B6" i="7"/>
  <c r="B2" i="7"/>
  <c r="A2" i="7"/>
  <c r="E5" i="7"/>
  <c r="E4" i="7"/>
  <c r="E3" i="7"/>
  <c r="E2" i="7"/>
  <c r="G4" i="5"/>
  <c r="B14" i="5"/>
  <c r="B13" i="5"/>
  <c r="B12" i="5"/>
  <c r="B11" i="5"/>
  <c r="B10" i="5"/>
  <c r="B9" i="5"/>
  <c r="B8" i="5"/>
  <c r="B7" i="5"/>
  <c r="B6" i="5"/>
  <c r="B5" i="5"/>
  <c r="B4" i="5"/>
  <c r="B3" i="5"/>
  <c r="B2" i="5"/>
  <c r="G11" i="5"/>
  <c r="G10" i="5"/>
  <c r="G9" i="5"/>
  <c r="G8" i="5"/>
  <c r="G7" i="5"/>
  <c r="G6" i="5"/>
  <c r="G5" i="5"/>
  <c r="G3" i="5"/>
  <c r="H11" i="5"/>
  <c r="H5" i="5"/>
  <c r="H10" i="5"/>
  <c r="H9" i="5"/>
  <c r="H7" i="5"/>
  <c r="H6" i="5"/>
  <c r="H4" i="5"/>
  <c r="E11" i="5"/>
  <c r="B2" i="6"/>
  <c r="D7" i="6"/>
  <c r="D6" i="6"/>
  <c r="B7" i="6"/>
  <c r="B6" i="6"/>
  <c r="K5" i="6"/>
  <c r="E13" i="5"/>
  <c r="K4" i="6"/>
  <c r="E12" i="5"/>
  <c r="J5" i="6"/>
  <c r="J4" i="6"/>
  <c r="G5" i="6"/>
  <c r="G4" i="6"/>
  <c r="F5" i="6"/>
  <c r="D7" i="5"/>
  <c r="F4" i="6"/>
  <c r="D6" i="5"/>
  <c r="D5" i="6"/>
  <c r="D4" i="6"/>
  <c r="B4" i="6"/>
  <c r="J2" i="5"/>
  <c r="B3" i="6"/>
  <c r="E9" i="5"/>
  <c r="E5" i="5"/>
  <c r="J3" i="5"/>
  <c r="J4" i="5"/>
  <c r="J5" i="5"/>
  <c r="J6" i="5"/>
  <c r="J7" i="5"/>
  <c r="J8" i="5"/>
  <c r="J9" i="5"/>
  <c r="J10" i="5"/>
  <c r="J11" i="5"/>
  <c r="J12" i="5"/>
  <c r="J13" i="5"/>
  <c r="J14" i="5"/>
  <c r="E4" i="5"/>
  <c r="E10" i="5"/>
  <c r="E8" i="5"/>
  <c r="C6" i="5"/>
  <c r="D11" i="5"/>
  <c r="C11" i="5"/>
  <c r="D4" i="5"/>
  <c r="D5" i="5"/>
  <c r="C4" i="5"/>
  <c r="C5" i="5"/>
  <c r="E3" i="5"/>
  <c r="C3" i="5"/>
  <c r="C7" i="5"/>
  <c r="C8" i="5"/>
  <c r="C9" i="5"/>
  <c r="C10" i="5"/>
  <c r="C12" i="5"/>
  <c r="C13" i="5"/>
  <c r="C14" i="5"/>
  <c r="D3" i="5"/>
  <c r="D8" i="5"/>
  <c r="D9" i="5"/>
  <c r="D10" i="5"/>
  <c r="C2" i="5"/>
  <c r="I197" i="1"/>
  <c r="E131" i="3" s="1"/>
  <c r="B12" i="3"/>
  <c r="B13" i="3"/>
  <c r="B11" i="3"/>
  <c r="A171" i="3" s="1"/>
  <c r="B10" i="3"/>
  <c r="G147" i="1"/>
  <c r="U32" i="3" l="1"/>
  <c r="Y32" i="3" s="1"/>
  <c r="Z32" i="3"/>
  <c r="AD32" i="3" s="1"/>
  <c r="D49" i="3" a="1"/>
  <c r="D49" i="3" s="1"/>
  <c r="K63" i="3"/>
  <c r="AE132" i="3"/>
  <c r="Z132" i="3" s="1"/>
  <c r="AD132" i="3" s="1"/>
  <c r="AE106" i="3"/>
  <c r="Z106" i="3" s="1"/>
  <c r="AD106" i="3" s="1"/>
  <c r="AE25" i="3"/>
  <c r="Z25" i="3" s="1"/>
  <c r="AD25" i="3" s="1"/>
  <c r="AF25" i="3"/>
  <c r="AE110" i="3"/>
  <c r="U110" i="3" s="1"/>
  <c r="AE108" i="3"/>
  <c r="Z108" i="3" s="1"/>
  <c r="AD108" i="3" s="1"/>
  <c r="AF108" i="3"/>
  <c r="AE111" i="3"/>
  <c r="U111" i="3" s="1"/>
  <c r="AE129" i="3"/>
  <c r="U129" i="3" s="1"/>
  <c r="AA130" i="3"/>
  <c r="AC130" i="3" s="1"/>
  <c r="V130" i="3"/>
  <c r="F20" i="3"/>
  <c r="G20" i="3" s="1"/>
  <c r="AE20" i="3" s="1"/>
  <c r="D20" i="3"/>
  <c r="I117" i="3"/>
  <c r="J117" i="3"/>
  <c r="AG117" i="3" s="1"/>
  <c r="K117" i="3"/>
  <c r="AH130" i="3"/>
  <c r="F125" i="3"/>
  <c r="G125" i="3" s="1"/>
  <c r="I125" i="3"/>
  <c r="J125" i="3"/>
  <c r="AG125" i="3" s="1"/>
  <c r="K125" i="3"/>
  <c r="F124" i="3"/>
  <c r="G124" i="3" s="1"/>
  <c r="K124" i="3"/>
  <c r="I124" i="3"/>
  <c r="J124" i="3"/>
  <c r="AG124" i="3" s="1"/>
  <c r="D123" i="3"/>
  <c r="I123" i="3"/>
  <c r="J123" i="3"/>
  <c r="AG123" i="3" s="1"/>
  <c r="K123" i="3"/>
  <c r="F122" i="3"/>
  <c r="G122" i="3" s="1"/>
  <c r="K122" i="3"/>
  <c r="I122" i="3"/>
  <c r="J122" i="3"/>
  <c r="AG122" i="3" s="1"/>
  <c r="F121" i="3"/>
  <c r="G121" i="3" s="1"/>
  <c r="I121" i="3"/>
  <c r="J121" i="3"/>
  <c r="AG121" i="3" s="1"/>
  <c r="K121" i="3"/>
  <c r="F120" i="3"/>
  <c r="G120" i="3" s="1"/>
  <c r="I120" i="3"/>
  <c r="K120" i="3"/>
  <c r="J120" i="3"/>
  <c r="AG120" i="3" s="1"/>
  <c r="F119" i="3"/>
  <c r="G119" i="3" s="1"/>
  <c r="J119" i="3"/>
  <c r="AG119" i="3" s="1"/>
  <c r="I119" i="3"/>
  <c r="K119" i="3"/>
  <c r="D118" i="3"/>
  <c r="I118" i="3"/>
  <c r="J118" i="3"/>
  <c r="AG118" i="3" s="1"/>
  <c r="K118" i="3"/>
  <c r="B36" i="3"/>
  <c r="K36" i="3"/>
  <c r="I36" i="3"/>
  <c r="J36" i="3"/>
  <c r="J63" i="3"/>
  <c r="AG63" i="3" s="1"/>
  <c r="I63" i="3"/>
  <c r="F116" i="3"/>
  <c r="G116" i="3" s="1"/>
  <c r="I116" i="3"/>
  <c r="J116" i="3"/>
  <c r="AG116" i="3" s="1"/>
  <c r="K116" i="3"/>
  <c r="D117" i="3"/>
  <c r="AH67" i="3"/>
  <c r="F82" i="3"/>
  <c r="G82" i="3" s="1"/>
  <c r="I82" i="3"/>
  <c r="K82" i="3"/>
  <c r="J82" i="3"/>
  <c r="AG82" i="3" s="1"/>
  <c r="D65" i="3"/>
  <c r="I65" i="3"/>
  <c r="K65" i="3"/>
  <c r="J65" i="3"/>
  <c r="AG65" i="3" s="1"/>
  <c r="D66" i="3"/>
  <c r="J66" i="3"/>
  <c r="AG66" i="3" s="1"/>
  <c r="I66" i="3"/>
  <c r="K66" i="3"/>
  <c r="F69" i="3"/>
  <c r="G69" i="3" s="1"/>
  <c r="I69" i="3"/>
  <c r="J69" i="3"/>
  <c r="AG69" i="3" s="1"/>
  <c r="K69" i="3"/>
  <c r="K34" i="3"/>
  <c r="J34" i="3"/>
  <c r="AG34" i="3" s="1"/>
  <c r="I34" i="3"/>
  <c r="D75" i="3"/>
  <c r="K75" i="3"/>
  <c r="I75" i="3"/>
  <c r="J75" i="3"/>
  <c r="AG75" i="3" s="1"/>
  <c r="D76" i="3"/>
  <c r="K76" i="3"/>
  <c r="I76" i="3"/>
  <c r="J76" i="3"/>
  <c r="AG76" i="3" s="1"/>
  <c r="D44" i="3"/>
  <c r="J44" i="3"/>
  <c r="AG44" i="3" s="1"/>
  <c r="K44" i="3"/>
  <c r="I44" i="3"/>
  <c r="D79" i="3"/>
  <c r="I79" i="3"/>
  <c r="J79" i="3"/>
  <c r="AG79" i="3" s="1"/>
  <c r="K79" i="3"/>
  <c r="F80" i="3"/>
  <c r="G80" i="3" s="1"/>
  <c r="I80" i="3"/>
  <c r="J80" i="3"/>
  <c r="AG80" i="3" s="1"/>
  <c r="K80" i="3"/>
  <c r="K114" i="3"/>
  <c r="I114" i="3"/>
  <c r="J114" i="3"/>
  <c r="AG114" i="3" s="1"/>
  <c r="AH114" i="3" s="1"/>
  <c r="D52" i="3"/>
  <c r="F52" i="3"/>
  <c r="G67" i="3"/>
  <c r="AE67" i="3" s="1"/>
  <c r="AH115" i="3"/>
  <c r="V115" i="3" s="1"/>
  <c r="I72" i="3"/>
  <c r="J72" i="3"/>
  <c r="AG72" i="3" s="1"/>
  <c r="K72" i="3"/>
  <c r="D74" i="3"/>
  <c r="I74" i="3"/>
  <c r="J74" i="3"/>
  <c r="AG74" i="3" s="1"/>
  <c r="K74" i="3"/>
  <c r="AH70" i="3"/>
  <c r="V70" i="3" s="1"/>
  <c r="D38" i="3"/>
  <c r="K38" i="3"/>
  <c r="I38" i="3"/>
  <c r="J38" i="3"/>
  <c r="AG38" i="3" s="1"/>
  <c r="D37" i="3"/>
  <c r="I37" i="3"/>
  <c r="J37" i="3"/>
  <c r="AG37" i="3" s="1"/>
  <c r="K37" i="3"/>
  <c r="F34" i="3"/>
  <c r="G34" i="3" s="1"/>
  <c r="M42" i="3"/>
  <c r="Q42" i="3"/>
  <c r="R105" i="3"/>
  <c r="R99" i="3"/>
  <c r="R100" i="3"/>
  <c r="R92" i="3"/>
  <c r="R50" i="3"/>
  <c r="O50" i="3" s="1"/>
  <c r="F98" i="3"/>
  <c r="B98" i="3"/>
  <c r="F53" i="3"/>
  <c r="F54" i="3"/>
  <c r="G54" i="3" s="1"/>
  <c r="N54" i="3"/>
  <c r="R61" i="3"/>
  <c r="R60" i="3"/>
  <c r="R51" i="3"/>
  <c r="D114" i="3"/>
  <c r="A173" i="3"/>
  <c r="A160" i="3"/>
  <c r="A172" i="3"/>
  <c r="F130" i="3"/>
  <c r="G130" i="3" s="1"/>
  <c r="D130" i="3"/>
  <c r="F131" i="3"/>
  <c r="G131" i="3" s="1"/>
  <c r="D131" i="3"/>
  <c r="D57" i="3"/>
  <c r="E36" i="3"/>
  <c r="D43" i="3"/>
  <c r="G43" i="3"/>
  <c r="F36" i="3"/>
  <c r="D36" i="3"/>
  <c r="D129" i="3"/>
  <c r="T129" i="3" s="1"/>
  <c r="D128" i="3"/>
  <c r="F128" i="3"/>
  <c r="G128" i="3" s="1"/>
  <c r="E98" i="3"/>
  <c r="N98" i="3" s="1"/>
  <c r="D116" i="3"/>
  <c r="E104" i="3"/>
  <c r="F72" i="3"/>
  <c r="G72" i="3" s="1"/>
  <c r="E103" i="3"/>
  <c r="E102" i="3"/>
  <c r="E101" i="3"/>
  <c r="E100" i="3"/>
  <c r="N100" i="3" s="1"/>
  <c r="F136" i="3"/>
  <c r="G136" i="3" s="1"/>
  <c r="T136" i="3" s="1"/>
  <c r="F135" i="3"/>
  <c r="G135" i="3" s="1"/>
  <c r="T135" i="3" s="1"/>
  <c r="F134" i="3"/>
  <c r="G134" i="3" s="1"/>
  <c r="T134" i="3" s="1"/>
  <c r="G115" i="3"/>
  <c r="T115" i="3" s="1"/>
  <c r="G113" i="3"/>
  <c r="T113" i="3" s="1"/>
  <c r="G81" i="3"/>
  <c r="G70" i="3"/>
  <c r="T70" i="3" s="1"/>
  <c r="G68" i="3"/>
  <c r="T68" i="3" s="1"/>
  <c r="D59" i="3"/>
  <c r="D132" i="3"/>
  <c r="T132" i="3" s="1"/>
  <c r="F133" i="3"/>
  <c r="G133" i="3" s="1"/>
  <c r="T133" i="3" s="1"/>
  <c r="D58" i="3"/>
  <c r="G24" i="3"/>
  <c r="T24" i="3" s="1"/>
  <c r="F123" i="3"/>
  <c r="G123" i="3" s="1"/>
  <c r="F61" i="3"/>
  <c r="F75" i="3"/>
  <c r="G75" i="3" s="1"/>
  <c r="E60" i="3"/>
  <c r="N60" i="3" s="1"/>
  <c r="D125" i="3"/>
  <c r="F56" i="3"/>
  <c r="D34" i="3"/>
  <c r="D81" i="3"/>
  <c r="D122" i="3"/>
  <c r="F76" i="3"/>
  <c r="G76" i="3" s="1"/>
  <c r="G62" i="3"/>
  <c r="T62" i="3" s="1"/>
  <c r="G112" i="3"/>
  <c r="T112" i="3" s="1"/>
  <c r="D56" i="3"/>
  <c r="D55" i="3"/>
  <c r="F74" i="3"/>
  <c r="G74" i="3" s="1"/>
  <c r="F60" i="3"/>
  <c r="F99" i="3"/>
  <c r="F118" i="3"/>
  <c r="G118" i="3" s="1"/>
  <c r="F100" i="3"/>
  <c r="D119" i="3"/>
  <c r="F33" i="3"/>
  <c r="G33" i="3" s="1"/>
  <c r="AE33" i="3" s="1"/>
  <c r="U33" i="3" s="1"/>
  <c r="F59" i="3"/>
  <c r="G59" i="3" s="1"/>
  <c r="D101" i="3"/>
  <c r="F38" i="3"/>
  <c r="G38" i="3" s="1"/>
  <c r="D69" i="3"/>
  <c r="D106" i="3"/>
  <c r="T106" i="3" s="1"/>
  <c r="D120" i="3"/>
  <c r="D82" i="3"/>
  <c r="F105" i="3"/>
  <c r="F117" i="3"/>
  <c r="G117" i="3" s="1"/>
  <c r="D124" i="3"/>
  <c r="D80" i="3"/>
  <c r="F114" i="3"/>
  <c r="G114" i="3" s="1"/>
  <c r="F79" i="3"/>
  <c r="G79" i="3" s="1"/>
  <c r="F66" i="3"/>
  <c r="G66" i="3" s="1"/>
  <c r="D102" i="3"/>
  <c r="F37" i="3"/>
  <c r="G37" i="3" s="1"/>
  <c r="G45" i="3"/>
  <c r="T45" i="3" s="1"/>
  <c r="F44" i="3"/>
  <c r="G44" i="3" s="1"/>
  <c r="F58" i="3"/>
  <c r="G78" i="3"/>
  <c r="T78" i="3" s="1"/>
  <c r="F65" i="3"/>
  <c r="G65" i="3" s="1"/>
  <c r="D103" i="3"/>
  <c r="D110" i="3"/>
  <c r="T110" i="3" s="1"/>
  <c r="D121" i="3"/>
  <c r="D104" i="3"/>
  <c r="D111" i="3"/>
  <c r="T111" i="3" s="1"/>
  <c r="G35" i="3"/>
  <c r="AE35" i="3" s="1"/>
  <c r="F57" i="3"/>
  <c r="G77" i="3"/>
  <c r="T77" i="3" s="1"/>
  <c r="G71" i="3"/>
  <c r="T71" i="3" s="1"/>
  <c r="G64" i="3"/>
  <c r="T64" i="3" s="1"/>
  <c r="C139" i="1"/>
  <c r="E92" i="3" s="1"/>
  <c r="C147" i="1"/>
  <c r="C161" i="1"/>
  <c r="C48" i="1"/>
  <c r="E42" i="3" s="1"/>
  <c r="T130" i="3" l="1"/>
  <c r="AF130" i="3" s="1"/>
  <c r="T122" i="3"/>
  <c r="T80" i="3"/>
  <c r="AF80" i="3" s="1"/>
  <c r="T34" i="3"/>
  <c r="AF34" i="3" s="1"/>
  <c r="T72" i="3"/>
  <c r="AF72" i="3" s="1"/>
  <c r="T81" i="3"/>
  <c r="AF81" i="3" s="1"/>
  <c r="T44" i="3"/>
  <c r="AF44" i="3" s="1"/>
  <c r="T124" i="3"/>
  <c r="AF124" i="3" s="1"/>
  <c r="T125" i="3"/>
  <c r="AF125" i="3" s="1"/>
  <c r="T116" i="3"/>
  <c r="T119" i="3"/>
  <c r="AF119" i="3" s="1"/>
  <c r="T114" i="3"/>
  <c r="AF114" i="3" s="1"/>
  <c r="T38" i="3"/>
  <c r="AF38" i="3" s="1"/>
  <c r="T131" i="3"/>
  <c r="AF131" i="3" s="1"/>
  <c r="T33" i="3"/>
  <c r="AF33" i="3" s="1"/>
  <c r="T67" i="3"/>
  <c r="AF67" i="3" s="1"/>
  <c r="T20" i="3"/>
  <c r="AF20" i="3" s="1"/>
  <c r="D22" i="3"/>
  <c r="D21" i="3"/>
  <c r="T21" i="3" s="1"/>
  <c r="AF21" i="3" s="1"/>
  <c r="T76" i="3"/>
  <c r="AF76" i="3" s="1"/>
  <c r="T120" i="3"/>
  <c r="AF120" i="3" s="1"/>
  <c r="T37" i="3"/>
  <c r="AF37" i="3" s="1"/>
  <c r="T117" i="3"/>
  <c r="AF117" i="3" s="1"/>
  <c r="T128" i="3"/>
  <c r="AF128" i="3" s="1"/>
  <c r="T69" i="3"/>
  <c r="AF69" i="3" s="1"/>
  <c r="T66" i="3"/>
  <c r="AF66" i="3" s="1"/>
  <c r="T118" i="3"/>
  <c r="AF118" i="3" s="1"/>
  <c r="T79" i="3"/>
  <c r="AF79" i="3" s="1"/>
  <c r="T75" i="3"/>
  <c r="AF75" i="3" s="1"/>
  <c r="U106" i="3"/>
  <c r="Y106" i="3" s="1"/>
  <c r="F49" i="3"/>
  <c r="G49" i="3" s="1"/>
  <c r="AE49" i="3" s="1"/>
  <c r="Z49" i="3" s="1"/>
  <c r="AD49" i="3" s="1"/>
  <c r="T74" i="3"/>
  <c r="AF74" i="3" s="1"/>
  <c r="T123" i="3"/>
  <c r="AF123" i="3" s="1"/>
  <c r="T82" i="3"/>
  <c r="AF82" i="3" s="1"/>
  <c r="T121" i="3"/>
  <c r="AF121" i="3" s="1"/>
  <c r="T65" i="3"/>
  <c r="AF65" i="3" s="1"/>
  <c r="T35" i="3"/>
  <c r="AF35" i="3" s="1"/>
  <c r="Z35" i="3" s="1"/>
  <c r="AD35" i="3" s="1"/>
  <c r="AF129" i="3"/>
  <c r="AF106" i="3"/>
  <c r="AF132" i="3"/>
  <c r="Z67" i="3"/>
  <c r="AF111" i="3"/>
  <c r="U108" i="3"/>
  <c r="Y108" i="3" s="1"/>
  <c r="AF110" i="3"/>
  <c r="U25" i="3"/>
  <c r="Y25" i="3" s="1"/>
  <c r="U132" i="3"/>
  <c r="Y132" i="3" s="1"/>
  <c r="AE125" i="3"/>
  <c r="U125" i="3" s="1"/>
  <c r="Z110" i="3"/>
  <c r="AD110" i="3" s="1"/>
  <c r="AA115" i="3"/>
  <c r="AC115" i="3" s="1"/>
  <c r="AE114" i="3"/>
  <c r="Z114" i="3" s="1"/>
  <c r="AE121" i="3"/>
  <c r="U121" i="3" s="1"/>
  <c r="AE68" i="3"/>
  <c r="Z68" i="3" s="1"/>
  <c r="AD68" i="3" s="1"/>
  <c r="AF68" i="3"/>
  <c r="AE72" i="3"/>
  <c r="U72" i="3" s="1"/>
  <c r="AE116" i="3"/>
  <c r="U116" i="3" s="1"/>
  <c r="AF116" i="3"/>
  <c r="AE65" i="3"/>
  <c r="Z65" i="3" s="1"/>
  <c r="AE117" i="3"/>
  <c r="Z117" i="3" s="1"/>
  <c r="AE118" i="3"/>
  <c r="Z118" i="3" s="1"/>
  <c r="AE70" i="3"/>
  <c r="Z70" i="3" s="1"/>
  <c r="AF70" i="3"/>
  <c r="AE54" i="3"/>
  <c r="Z54" i="3" s="1"/>
  <c r="AE78" i="3"/>
  <c r="U78" i="3" s="1"/>
  <c r="AF78" i="3"/>
  <c r="AE81" i="3"/>
  <c r="Z81" i="3" s="1"/>
  <c r="AD81" i="3" s="1"/>
  <c r="AE131" i="3"/>
  <c r="U131" i="3" s="1"/>
  <c r="Y131" i="3" s="1"/>
  <c r="AE119" i="3"/>
  <c r="Z119" i="3" s="1"/>
  <c r="AE122" i="3"/>
  <c r="U122" i="3" s="1"/>
  <c r="AF122" i="3"/>
  <c r="AE64" i="3"/>
  <c r="U64" i="3" s="1"/>
  <c r="AF64" i="3"/>
  <c r="AE113" i="3"/>
  <c r="U113" i="3" s="1"/>
  <c r="AF113" i="3"/>
  <c r="AE34" i="3"/>
  <c r="AE71" i="3"/>
  <c r="U71" i="3" s="1"/>
  <c r="AF71" i="3"/>
  <c r="AE44" i="3"/>
  <c r="Z44" i="3" s="1"/>
  <c r="AE74" i="3"/>
  <c r="Z74" i="3" s="1"/>
  <c r="AE75" i="3"/>
  <c r="Z75" i="3" s="1"/>
  <c r="AE115" i="3"/>
  <c r="Z115" i="3" s="1"/>
  <c r="AF115" i="3"/>
  <c r="AE128" i="3"/>
  <c r="U128" i="3" s="1"/>
  <c r="Y128" i="3" s="1"/>
  <c r="AE130" i="3"/>
  <c r="Z130" i="3" s="1"/>
  <c r="AD130" i="3" s="1"/>
  <c r="AE77" i="3"/>
  <c r="Z77" i="3" s="1"/>
  <c r="AD77" i="3" s="1"/>
  <c r="AF77" i="3"/>
  <c r="AE45" i="3"/>
  <c r="Z45" i="3" s="1"/>
  <c r="AD45" i="3" s="1"/>
  <c r="AF45" i="3"/>
  <c r="AE134" i="3"/>
  <c r="Z134" i="3" s="1"/>
  <c r="AD134" i="3" s="1"/>
  <c r="AF134" i="3"/>
  <c r="AE37" i="3"/>
  <c r="U37" i="3" s="1"/>
  <c r="AE123" i="3"/>
  <c r="Z123" i="3" s="1"/>
  <c r="AE135" i="3"/>
  <c r="U135" i="3" s="1"/>
  <c r="Y135" i="3" s="1"/>
  <c r="AF135" i="3"/>
  <c r="AE69" i="3"/>
  <c r="U69" i="3" s="1"/>
  <c r="AE82" i="3"/>
  <c r="Z82" i="3" s="1"/>
  <c r="AE120" i="3"/>
  <c r="Z120" i="3" s="1"/>
  <c r="AE38" i="3"/>
  <c r="Z38" i="3" s="1"/>
  <c r="AE112" i="3"/>
  <c r="U112" i="3" s="1"/>
  <c r="AF112" i="3"/>
  <c r="AE24" i="3"/>
  <c r="Z24" i="3" s="1"/>
  <c r="AD24" i="3" s="1"/>
  <c r="AF24" i="3"/>
  <c r="AE136" i="3"/>
  <c r="Z136" i="3" s="1"/>
  <c r="AD136" i="3" s="1"/>
  <c r="AF136" i="3"/>
  <c r="AE80" i="3"/>
  <c r="U80" i="3" s="1"/>
  <c r="Y111" i="3"/>
  <c r="AE66" i="3"/>
  <c r="Z66" i="3" s="1"/>
  <c r="AE62" i="3"/>
  <c r="Z62" i="3" s="1"/>
  <c r="AD62" i="3" s="1"/>
  <c r="AF62" i="3"/>
  <c r="AE79" i="3"/>
  <c r="Z79" i="3" s="1"/>
  <c r="AE59" i="3"/>
  <c r="Z59" i="3" s="1"/>
  <c r="AE76" i="3"/>
  <c r="Z76" i="3" s="1"/>
  <c r="AE133" i="3"/>
  <c r="U133" i="3" s="1"/>
  <c r="Y133" i="3" s="1"/>
  <c r="AF133" i="3"/>
  <c r="AE43" i="3"/>
  <c r="U43" i="3" s="1"/>
  <c r="Z129" i="3"/>
  <c r="AD129" i="3" s="1"/>
  <c r="AE124" i="3"/>
  <c r="U124" i="3" s="1"/>
  <c r="Z111" i="3"/>
  <c r="AD111" i="3" s="1"/>
  <c r="Y110" i="3"/>
  <c r="U35" i="3"/>
  <c r="Y35" i="3" s="1"/>
  <c r="X130" i="3"/>
  <c r="Y129" i="3"/>
  <c r="V123" i="3"/>
  <c r="X123" i="3" s="1"/>
  <c r="AA123" i="3"/>
  <c r="AC123" i="3" s="1"/>
  <c r="AA70" i="3"/>
  <c r="AC70" i="3" s="1"/>
  <c r="V117" i="3"/>
  <c r="AA117" i="3"/>
  <c r="AC117" i="3" s="1"/>
  <c r="V119" i="3"/>
  <c r="X119" i="3" s="1"/>
  <c r="AA119" i="3"/>
  <c r="AC119" i="3" s="1"/>
  <c r="AA82" i="3"/>
  <c r="AC82" i="3" s="1"/>
  <c r="V82" i="3"/>
  <c r="AA69" i="3"/>
  <c r="AC69" i="3" s="1"/>
  <c r="V69" i="3"/>
  <c r="AA37" i="3"/>
  <c r="AC37" i="3" s="1"/>
  <c r="V37" i="3"/>
  <c r="AA80" i="3"/>
  <c r="AC80" i="3" s="1"/>
  <c r="V80" i="3"/>
  <c r="V72" i="3"/>
  <c r="X72" i="3" s="1"/>
  <c r="AA72" i="3"/>
  <c r="AC72" i="3" s="1"/>
  <c r="AA38" i="3"/>
  <c r="AC38" i="3" s="1"/>
  <c r="V38" i="3"/>
  <c r="V75" i="3"/>
  <c r="AA75" i="3"/>
  <c r="AC75" i="3" s="1"/>
  <c r="AH124" i="3"/>
  <c r="V124" i="3"/>
  <c r="AA124" i="3"/>
  <c r="AC124" i="3" s="1"/>
  <c r="AA79" i="3"/>
  <c r="AC79" i="3" s="1"/>
  <c r="V79" i="3"/>
  <c r="AA66" i="3"/>
  <c r="AC66" i="3" s="1"/>
  <c r="V66" i="3"/>
  <c r="AA118" i="3"/>
  <c r="AC118" i="3" s="1"/>
  <c r="V118" i="3"/>
  <c r="X118" i="3" s="1"/>
  <c r="AH121" i="3"/>
  <c r="AA121" i="3"/>
  <c r="AC121" i="3" s="1"/>
  <c r="V121" i="3"/>
  <c r="V116" i="3"/>
  <c r="AA116" i="3"/>
  <c r="AC116" i="3" s="1"/>
  <c r="U67" i="3"/>
  <c r="V74" i="3"/>
  <c r="AA74" i="3"/>
  <c r="AC74" i="3" s="1"/>
  <c r="AA44" i="3"/>
  <c r="AC44" i="3" s="1"/>
  <c r="V44" i="3"/>
  <c r="AA76" i="3"/>
  <c r="AC76" i="3" s="1"/>
  <c r="V76" i="3"/>
  <c r="V120" i="3"/>
  <c r="X120" i="3" s="1"/>
  <c r="AA120" i="3"/>
  <c r="AC120" i="3" s="1"/>
  <c r="V65" i="3"/>
  <c r="AA65" i="3"/>
  <c r="AC65" i="3" s="1"/>
  <c r="X70" i="3"/>
  <c r="AA122" i="3"/>
  <c r="AC122" i="3" s="1"/>
  <c r="V122" i="3"/>
  <c r="X122" i="3" s="1"/>
  <c r="AA114" i="3"/>
  <c r="AC114" i="3" s="1"/>
  <c r="V114" i="3"/>
  <c r="AA34" i="3"/>
  <c r="AH125" i="3"/>
  <c r="V125" i="3"/>
  <c r="AA125" i="3"/>
  <c r="AC125" i="3" s="1"/>
  <c r="Z33" i="3"/>
  <c r="AD33" i="3" s="1"/>
  <c r="V67" i="3"/>
  <c r="X67" i="3" s="1"/>
  <c r="AA67" i="3"/>
  <c r="AC67" i="3" s="1"/>
  <c r="Y33" i="3"/>
  <c r="V63" i="3"/>
  <c r="AA63" i="3"/>
  <c r="AC63" i="3" s="1"/>
  <c r="G36" i="3"/>
  <c r="AE36" i="3" s="1"/>
  <c r="Z36" i="3" s="1"/>
  <c r="AH117" i="3"/>
  <c r="AH123" i="3"/>
  <c r="AH122" i="3"/>
  <c r="AH120" i="3"/>
  <c r="AH119" i="3"/>
  <c r="AH118" i="3"/>
  <c r="J107" i="3"/>
  <c r="AG107" i="3" s="1"/>
  <c r="K107" i="3"/>
  <c r="I107" i="3"/>
  <c r="AH63" i="3"/>
  <c r="AH66" i="3"/>
  <c r="AH65" i="3"/>
  <c r="AH116" i="3"/>
  <c r="AH80" i="3"/>
  <c r="AH34" i="3"/>
  <c r="V34" i="3" s="1"/>
  <c r="AH82" i="3"/>
  <c r="AH76" i="3"/>
  <c r="AH69" i="3"/>
  <c r="X115" i="3"/>
  <c r="AH79" i="3"/>
  <c r="AH44" i="3"/>
  <c r="AH75" i="3"/>
  <c r="AH72" i="3"/>
  <c r="AH74" i="3"/>
  <c r="AH38" i="3"/>
  <c r="AH37" i="3"/>
  <c r="AG36" i="3"/>
  <c r="M50" i="3"/>
  <c r="Q50" i="3"/>
  <c r="E96" i="3"/>
  <c r="N96" i="3" s="1"/>
  <c r="P96" i="3" s="1"/>
  <c r="E97" i="3"/>
  <c r="G92" i="3"/>
  <c r="N92" i="3"/>
  <c r="R103" i="3"/>
  <c r="G101" i="3"/>
  <c r="N101" i="3"/>
  <c r="G102" i="3"/>
  <c r="N102" i="3"/>
  <c r="G103" i="3"/>
  <c r="N103" i="3"/>
  <c r="G104" i="3"/>
  <c r="N104" i="3"/>
  <c r="M100" i="3"/>
  <c r="Q100" i="3"/>
  <c r="O100" i="3"/>
  <c r="P100" i="3" s="1"/>
  <c r="AI100" i="3" s="1"/>
  <c r="R102" i="3"/>
  <c r="O99" i="3"/>
  <c r="Q99" i="3"/>
  <c r="M99" i="3"/>
  <c r="R101" i="3"/>
  <c r="R104" i="3"/>
  <c r="M105" i="3"/>
  <c r="O105" i="3"/>
  <c r="P105" i="3" s="1"/>
  <c r="AI105" i="3" s="1"/>
  <c r="Q105" i="3"/>
  <c r="Q92" i="3"/>
  <c r="M92" i="3"/>
  <c r="O92" i="3"/>
  <c r="R52" i="3"/>
  <c r="G98" i="3"/>
  <c r="AE98" i="3" s="1"/>
  <c r="Q60" i="3"/>
  <c r="O60" i="3"/>
  <c r="P60" i="3" s="1"/>
  <c r="AI60" i="3" s="1"/>
  <c r="M60" i="3"/>
  <c r="Q61" i="3"/>
  <c r="M61" i="3"/>
  <c r="O61" i="3"/>
  <c r="M54" i="3"/>
  <c r="Q54" i="3"/>
  <c r="O54" i="3"/>
  <c r="P54" i="3" s="1"/>
  <c r="AI54" i="3" s="1"/>
  <c r="Q51" i="3"/>
  <c r="O51" i="3"/>
  <c r="P51" i="3" s="1"/>
  <c r="T51" i="3" s="1"/>
  <c r="M51" i="3"/>
  <c r="R56" i="3"/>
  <c r="R57" i="3"/>
  <c r="R58" i="3"/>
  <c r="G42" i="3"/>
  <c r="N42" i="3"/>
  <c r="P42" i="3" s="1"/>
  <c r="R59" i="3"/>
  <c r="R55" i="3"/>
  <c r="R43" i="3"/>
  <c r="D98" i="3"/>
  <c r="B107" i="3"/>
  <c r="F107" i="3" s="1"/>
  <c r="G107" i="3" s="1"/>
  <c r="G52" i="3"/>
  <c r="AE52" i="3" s="1"/>
  <c r="G100" i="3"/>
  <c r="G60" i="3"/>
  <c r="C68" i="1"/>
  <c r="C56" i="1"/>
  <c r="G14" i="3"/>
  <c r="G13" i="3"/>
  <c r="G12" i="3"/>
  <c r="G11" i="3"/>
  <c r="U49" i="3" l="1"/>
  <c r="Y49" i="3" s="1"/>
  <c r="T42" i="3"/>
  <c r="AF42" i="3" s="1"/>
  <c r="AI42" i="3"/>
  <c r="AJ42" i="3" s="1"/>
  <c r="T49" i="3"/>
  <c r="AF49" i="3" s="1"/>
  <c r="T60" i="3"/>
  <c r="AF60" i="3" s="1"/>
  <c r="T100" i="3"/>
  <c r="AF100" i="3" s="1"/>
  <c r="U70" i="3"/>
  <c r="Y70" i="3" s="1"/>
  <c r="T36" i="3"/>
  <c r="AF36" i="3" s="1"/>
  <c r="U34" i="3"/>
  <c r="AI51" i="3"/>
  <c r="AJ51" i="3" s="1"/>
  <c r="W51" i="3" s="1"/>
  <c r="AF51" i="3"/>
  <c r="U68" i="3"/>
  <c r="Y68" i="3" s="1"/>
  <c r="U82" i="3"/>
  <c r="Z124" i="3"/>
  <c r="AD124" i="3" s="1"/>
  <c r="U76" i="3"/>
  <c r="Z78" i="3"/>
  <c r="AD78" i="3" s="1"/>
  <c r="U115" i="3"/>
  <c r="Y115" i="3" s="1"/>
  <c r="Z128" i="3"/>
  <c r="AD128" i="3" s="1"/>
  <c r="Z112" i="3"/>
  <c r="AD112" i="3" s="1"/>
  <c r="Z80" i="3"/>
  <c r="AD80" i="3" s="1"/>
  <c r="U119" i="3"/>
  <c r="Y119" i="3" s="1"/>
  <c r="U136" i="3"/>
  <c r="Y136" i="3" s="1"/>
  <c r="Z72" i="3"/>
  <c r="AD72" i="3" s="1"/>
  <c r="Z125" i="3"/>
  <c r="AD125" i="3" s="1"/>
  <c r="Z133" i="3"/>
  <c r="AD133" i="3" s="1"/>
  <c r="U38" i="3"/>
  <c r="Z116" i="3"/>
  <c r="AD116" i="3" s="1"/>
  <c r="Z37" i="3"/>
  <c r="AD37" i="3" s="1"/>
  <c r="Z64" i="3"/>
  <c r="AD64" i="3" s="1"/>
  <c r="Z34" i="3"/>
  <c r="U54" i="3"/>
  <c r="U118" i="3"/>
  <c r="Y118" i="3" s="1"/>
  <c r="Z43" i="3"/>
  <c r="U120" i="3"/>
  <c r="Y120" i="3" s="1"/>
  <c r="AD120" i="3"/>
  <c r="U130" i="3"/>
  <c r="Y130" i="3" s="1"/>
  <c r="U24" i="3"/>
  <c r="Y24" i="3" s="1"/>
  <c r="Z121" i="3"/>
  <c r="AD121" i="3" s="1"/>
  <c r="Y78" i="3"/>
  <c r="U75" i="3"/>
  <c r="Z122" i="3"/>
  <c r="AD122" i="3" s="1"/>
  <c r="U59" i="3"/>
  <c r="Z135" i="3"/>
  <c r="AD135" i="3" s="1"/>
  <c r="U123" i="3"/>
  <c r="Y123" i="3" s="1"/>
  <c r="Z71" i="3"/>
  <c r="AD71" i="3" s="1"/>
  <c r="U44" i="3"/>
  <c r="AD115" i="3"/>
  <c r="AE100" i="3"/>
  <c r="U100" i="3" s="1"/>
  <c r="AE92" i="3"/>
  <c r="U92" i="3" s="1"/>
  <c r="Z113" i="3"/>
  <c r="AD113" i="3" s="1"/>
  <c r="U74" i="3"/>
  <c r="AE104" i="3"/>
  <c r="U104" i="3" s="1"/>
  <c r="AE60" i="3"/>
  <c r="Z60" i="3" s="1"/>
  <c r="AE102" i="3"/>
  <c r="Z102" i="3" s="1"/>
  <c r="U77" i="3"/>
  <c r="Y77" i="3" s="1"/>
  <c r="AE107" i="3"/>
  <c r="U107" i="3" s="1"/>
  <c r="U62" i="3"/>
  <c r="Y62" i="3" s="1"/>
  <c r="Z131" i="3"/>
  <c r="AD131" i="3" s="1"/>
  <c r="U117" i="3"/>
  <c r="U114" i="3"/>
  <c r="U45" i="3"/>
  <c r="Y45" i="3" s="1"/>
  <c r="U79" i="3"/>
  <c r="U66" i="3"/>
  <c r="U65" i="3"/>
  <c r="U81" i="3"/>
  <c r="Y81" i="3" s="1"/>
  <c r="AE103" i="3"/>
  <c r="Z103" i="3" s="1"/>
  <c r="AE101" i="3"/>
  <c r="Z101" i="3" s="1"/>
  <c r="X44" i="3"/>
  <c r="Z69" i="3"/>
  <c r="AD69" i="3" s="1"/>
  <c r="U134" i="3"/>
  <c r="Y134" i="3" s="1"/>
  <c r="AD119" i="3"/>
  <c r="AI96" i="3"/>
  <c r="AB96" i="3" s="1"/>
  <c r="AC96" i="3" s="1"/>
  <c r="Y112" i="3"/>
  <c r="AD118" i="3"/>
  <c r="Y113" i="3"/>
  <c r="X82" i="3"/>
  <c r="U36" i="3"/>
  <c r="X74" i="3"/>
  <c r="X63" i="3"/>
  <c r="X34" i="3"/>
  <c r="X37" i="3"/>
  <c r="Y37" i="3" s="1"/>
  <c r="X75" i="3"/>
  <c r="X117" i="3"/>
  <c r="AD70" i="3"/>
  <c r="AD76" i="3"/>
  <c r="X79" i="3"/>
  <c r="AD75" i="3"/>
  <c r="X66" i="3"/>
  <c r="X69" i="3"/>
  <c r="Y69" i="3" s="1"/>
  <c r="AD38" i="3"/>
  <c r="Y71" i="3"/>
  <c r="Z20" i="3"/>
  <c r="AD20" i="3" s="1"/>
  <c r="U20" i="3"/>
  <c r="Y20" i="3" s="1"/>
  <c r="X114" i="3"/>
  <c r="X124" i="3"/>
  <c r="Y124" i="3" s="1"/>
  <c r="AD66" i="3"/>
  <c r="AD74" i="3"/>
  <c r="AD79" i="3"/>
  <c r="U98" i="3"/>
  <c r="Z98" i="3"/>
  <c r="X76" i="3"/>
  <c r="Y67" i="3"/>
  <c r="AD82" i="3"/>
  <c r="Y64" i="3"/>
  <c r="AD117" i="3"/>
  <c r="X125" i="3"/>
  <c r="Y125" i="3" s="1"/>
  <c r="X116" i="3"/>
  <c r="Y116" i="3" s="1"/>
  <c r="AC34" i="3"/>
  <c r="X121" i="3"/>
  <c r="Y121" i="3" s="1"/>
  <c r="AD44" i="3"/>
  <c r="AD123" i="3"/>
  <c r="X38" i="3"/>
  <c r="X80" i="3"/>
  <c r="Y80" i="3" s="1"/>
  <c r="X65" i="3"/>
  <c r="AD65" i="3"/>
  <c r="AD114" i="3"/>
  <c r="Z52" i="3"/>
  <c r="U52" i="3"/>
  <c r="W54" i="3"/>
  <c r="AB54" i="3"/>
  <c r="AC54" i="3" s="1"/>
  <c r="AD54" i="3" s="1"/>
  <c r="AD67" i="3"/>
  <c r="AH107" i="3"/>
  <c r="V107" i="3"/>
  <c r="AA107" i="3"/>
  <c r="AC107" i="3" s="1"/>
  <c r="AJ60" i="3"/>
  <c r="W60" i="3"/>
  <c r="AB60" i="3"/>
  <c r="AC60" i="3" s="1"/>
  <c r="AB100" i="3"/>
  <c r="AC100" i="3" s="1"/>
  <c r="W100" i="3"/>
  <c r="X100" i="3" s="1"/>
  <c r="AB105" i="3"/>
  <c r="AC105" i="3" s="1"/>
  <c r="W105" i="3"/>
  <c r="X105" i="3" s="1"/>
  <c r="P92" i="3"/>
  <c r="AI92" i="3" s="1"/>
  <c r="Y122" i="3"/>
  <c r="AJ54" i="3"/>
  <c r="G96" i="3"/>
  <c r="I46" i="3"/>
  <c r="J46" i="3"/>
  <c r="K46" i="3"/>
  <c r="Y72" i="3"/>
  <c r="D46" i="3"/>
  <c r="B46" i="3"/>
  <c r="AH36" i="3"/>
  <c r="AA36" i="3" s="1"/>
  <c r="N97" i="3"/>
  <c r="P97" i="3" s="1"/>
  <c r="AI97" i="3" s="1"/>
  <c r="G97" i="3"/>
  <c r="T97" i="3" s="1"/>
  <c r="AE42" i="3"/>
  <c r="AJ105" i="3"/>
  <c r="R98" i="3"/>
  <c r="O101" i="3"/>
  <c r="P101" i="3"/>
  <c r="M101" i="3"/>
  <c r="Q101" i="3"/>
  <c r="AJ100" i="3"/>
  <c r="M103" i="3"/>
  <c r="P103" i="3"/>
  <c r="AI103" i="3" s="1"/>
  <c r="O103" i="3"/>
  <c r="Q103" i="3"/>
  <c r="M104" i="3"/>
  <c r="Q104" i="3"/>
  <c r="O104" i="3"/>
  <c r="P104" i="3" s="1"/>
  <c r="M102" i="3"/>
  <c r="O102" i="3"/>
  <c r="P102" i="3" s="1"/>
  <c r="AI102" i="3" s="1"/>
  <c r="Q102" i="3"/>
  <c r="E56" i="3"/>
  <c r="N56" i="3" s="1"/>
  <c r="E58" i="3"/>
  <c r="Q55" i="3"/>
  <c r="O55" i="3"/>
  <c r="M55" i="3"/>
  <c r="O59" i="3"/>
  <c r="P59" i="3" s="1"/>
  <c r="T59" i="3" s="1"/>
  <c r="M59" i="3"/>
  <c r="Q59" i="3"/>
  <c r="M56" i="3"/>
  <c r="Q56" i="3"/>
  <c r="O56" i="3"/>
  <c r="Q58" i="3"/>
  <c r="O58" i="3"/>
  <c r="M58" i="3"/>
  <c r="M57" i="3"/>
  <c r="Q57" i="3"/>
  <c r="O57" i="3"/>
  <c r="E55" i="3"/>
  <c r="N55" i="3" s="1"/>
  <c r="M52" i="3"/>
  <c r="O52" i="3"/>
  <c r="P52" i="3" s="1"/>
  <c r="Q52" i="3"/>
  <c r="Q43" i="3"/>
  <c r="O43" i="3"/>
  <c r="P43" i="3" s="1"/>
  <c r="T43" i="3" s="1"/>
  <c r="M43" i="3"/>
  <c r="N22" i="3"/>
  <c r="P22" i="3" s="1"/>
  <c r="T22" i="3" s="1"/>
  <c r="D107" i="3"/>
  <c r="T107" i="3" s="1"/>
  <c r="E50" i="3"/>
  <c r="E57" i="3"/>
  <c r="N57" i="3" s="1"/>
  <c r="E53" i="3"/>
  <c r="N53" i="3" s="1"/>
  <c r="F46" i="3"/>
  <c r="G46" i="3" s="1"/>
  <c r="E105" i="3"/>
  <c r="E61" i="3"/>
  <c r="N61" i="3" s="1"/>
  <c r="P61" i="3" s="1"/>
  <c r="AI61" i="3" s="1"/>
  <c r="E99" i="3"/>
  <c r="B63" i="3"/>
  <c r="E63" i="3"/>
  <c r="W42" i="3" l="1"/>
  <c r="AB42" i="3"/>
  <c r="AC42" i="3" s="1"/>
  <c r="P148" i="3"/>
  <c r="P152" i="3"/>
  <c r="P156" i="3"/>
  <c r="P149" i="3"/>
  <c r="P153" i="3"/>
  <c r="P157" i="3"/>
  <c r="P146" i="3"/>
  <c r="P150" i="3"/>
  <c r="P154" i="3"/>
  <c r="P158" i="3"/>
  <c r="P147" i="3"/>
  <c r="P151" i="3"/>
  <c r="P155" i="3"/>
  <c r="P145" i="3"/>
  <c r="T92" i="3"/>
  <c r="AF92" i="3" s="1"/>
  <c r="T103" i="3"/>
  <c r="T46" i="3"/>
  <c r="AF46" i="3" s="1"/>
  <c r="AI52" i="3"/>
  <c r="AJ52" i="3" s="1"/>
  <c r="W52" i="3" s="1"/>
  <c r="T52" i="3"/>
  <c r="AF52" i="3" s="1"/>
  <c r="AI104" i="3"/>
  <c r="AJ104" i="3" s="1"/>
  <c r="T104" i="3"/>
  <c r="AF104" i="3" s="1"/>
  <c r="AE96" i="3"/>
  <c r="Z96" i="3" s="1"/>
  <c r="AD96" i="3" s="1"/>
  <c r="T96" i="3"/>
  <c r="AF96" i="3" s="1"/>
  <c r="AI101" i="3"/>
  <c r="AB101" i="3" s="1"/>
  <c r="AC101" i="3" s="1"/>
  <c r="AD101" i="3" s="1"/>
  <c r="T101" i="3"/>
  <c r="AF101" i="3" s="1"/>
  <c r="T102" i="3"/>
  <c r="AF102" i="3" s="1"/>
  <c r="Y34" i="3"/>
  <c r="Y82" i="3"/>
  <c r="Y76" i="3"/>
  <c r="AJ96" i="3"/>
  <c r="W96" i="3"/>
  <c r="X96" i="3" s="1"/>
  <c r="Y38" i="3"/>
  <c r="Y75" i="3"/>
  <c r="Y114" i="3"/>
  <c r="Z92" i="3"/>
  <c r="Y117" i="3"/>
  <c r="AD34" i="3"/>
  <c r="Y44" i="3"/>
  <c r="U103" i="3"/>
  <c r="Z100" i="3"/>
  <c r="AD100" i="3" s="1"/>
  <c r="Z107" i="3"/>
  <c r="AD107" i="3" s="1"/>
  <c r="AF107" i="3"/>
  <c r="AE46" i="3"/>
  <c r="Z46" i="3" s="1"/>
  <c r="U102" i="3"/>
  <c r="Y74" i="3"/>
  <c r="Z104" i="3"/>
  <c r="AI59" i="3"/>
  <c r="W59" i="3" s="1"/>
  <c r="X59" i="3" s="1"/>
  <c r="Y59" i="3" s="1"/>
  <c r="AF59" i="3"/>
  <c r="Y65" i="3"/>
  <c r="Y66" i="3"/>
  <c r="U101" i="3"/>
  <c r="AF103" i="3"/>
  <c r="AE97" i="3"/>
  <c r="U97" i="3" s="1"/>
  <c r="AF97" i="3"/>
  <c r="U60" i="3"/>
  <c r="Y79" i="3"/>
  <c r="AI43" i="3"/>
  <c r="W43" i="3" s="1"/>
  <c r="AF43" i="3"/>
  <c r="X54" i="3"/>
  <c r="Y100" i="3"/>
  <c r="AC36" i="3"/>
  <c r="AD36" i="3" s="1"/>
  <c r="Z42" i="3"/>
  <c r="AD42" i="3" s="1"/>
  <c r="U42" i="3"/>
  <c r="AB51" i="3"/>
  <c r="AC51" i="3" s="1"/>
  <c r="AD51" i="3" s="1"/>
  <c r="AD60" i="3"/>
  <c r="V36" i="3"/>
  <c r="X42" i="3"/>
  <c r="AB103" i="3"/>
  <c r="AC103" i="3" s="1"/>
  <c r="AD103" i="3" s="1"/>
  <c r="W103" i="3"/>
  <c r="X103" i="3" s="1"/>
  <c r="AJ92" i="3"/>
  <c r="AB92" i="3"/>
  <c r="AC92" i="3" s="1"/>
  <c r="W92" i="3"/>
  <c r="X51" i="3"/>
  <c r="AJ97" i="3"/>
  <c r="W97" i="3"/>
  <c r="AB97" i="3"/>
  <c r="AC97" i="3" s="1"/>
  <c r="X60" i="3"/>
  <c r="W102" i="3"/>
  <c r="X102" i="3" s="1"/>
  <c r="AB102" i="3"/>
  <c r="AC102" i="3" s="1"/>
  <c r="AD102" i="3" s="1"/>
  <c r="AB61" i="3"/>
  <c r="AC61" i="3" s="1"/>
  <c r="W61" i="3"/>
  <c r="X61" i="3" s="1"/>
  <c r="X107" i="3"/>
  <c r="Y107" i="3" s="1"/>
  <c r="AG46" i="3"/>
  <c r="AG139" i="3" s="1"/>
  <c r="J139" i="3"/>
  <c r="AI22" i="3"/>
  <c r="AJ101" i="3"/>
  <c r="G99" i="3"/>
  <c r="N99" i="3"/>
  <c r="P99" i="3" s="1"/>
  <c r="AI99" i="3" s="1"/>
  <c r="Q98" i="3"/>
  <c r="O98" i="3"/>
  <c r="P98" i="3" s="1"/>
  <c r="T98" i="3" s="1"/>
  <c r="M98" i="3"/>
  <c r="G105" i="3"/>
  <c r="T105" i="3" s="1"/>
  <c r="N105" i="3"/>
  <c r="AJ103" i="3"/>
  <c r="AJ102" i="3"/>
  <c r="AJ61" i="3"/>
  <c r="P56" i="3"/>
  <c r="AI56" i="3" s="1"/>
  <c r="G56" i="3"/>
  <c r="P55" i="3"/>
  <c r="AI55" i="3" s="1"/>
  <c r="P57" i="3"/>
  <c r="AI57" i="3" s="1"/>
  <c r="N58" i="3"/>
  <c r="P58" i="3" s="1"/>
  <c r="AI58" i="3" s="1"/>
  <c r="G58" i="3"/>
  <c r="G55" i="3"/>
  <c r="G61" i="3"/>
  <c r="T61" i="3" s="1"/>
  <c r="G53" i="3"/>
  <c r="AE53" i="3" s="1"/>
  <c r="G57" i="3"/>
  <c r="G50" i="3"/>
  <c r="N50" i="3"/>
  <c r="P50" i="3" s="1"/>
  <c r="AI50" i="3" s="1"/>
  <c r="D53" i="3"/>
  <c r="D41" i="3"/>
  <c r="F63" i="3"/>
  <c r="G63" i="3" s="1"/>
  <c r="D63" i="3"/>
  <c r="T57" i="3" l="1"/>
  <c r="AF57" i="3" s="1"/>
  <c r="W104" i="3"/>
  <c r="X104" i="3" s="1"/>
  <c r="Y104" i="3" s="1"/>
  <c r="T58" i="3"/>
  <c r="AF58" i="3" s="1"/>
  <c r="AB104" i="3"/>
  <c r="AC104" i="3" s="1"/>
  <c r="AD104" i="3" s="1"/>
  <c r="T56" i="3"/>
  <c r="AF56" i="3" s="1"/>
  <c r="U96" i="3"/>
  <c r="Y96" i="3" s="1"/>
  <c r="T63" i="3"/>
  <c r="AF63" i="3" s="1"/>
  <c r="T99" i="3"/>
  <c r="AF99" i="3" s="1"/>
  <c r="T55" i="3"/>
  <c r="AF55" i="3" s="1"/>
  <c r="T50" i="3"/>
  <c r="AF50" i="3" s="1"/>
  <c r="W101" i="3"/>
  <c r="X101" i="3" s="1"/>
  <c r="Y101" i="3" s="1"/>
  <c r="AE56" i="3"/>
  <c r="U56" i="3" s="1"/>
  <c r="AE55" i="3"/>
  <c r="U55" i="3" s="1"/>
  <c r="U46" i="3"/>
  <c r="AJ59" i="3"/>
  <c r="Y103" i="3"/>
  <c r="AD92" i="3"/>
  <c r="Z97" i="3"/>
  <c r="AD97" i="3" s="1"/>
  <c r="AJ43" i="3"/>
  <c r="Y102" i="3"/>
  <c r="AB43" i="3"/>
  <c r="AC43" i="3" s="1"/>
  <c r="AD43" i="3" s="1"/>
  <c r="AB59" i="3"/>
  <c r="AC59" i="3" s="1"/>
  <c r="AD59" i="3" s="1"/>
  <c r="Y60" i="3"/>
  <c r="AE57" i="3"/>
  <c r="Z57" i="3" s="1"/>
  <c r="AE99" i="3"/>
  <c r="U99" i="3" s="1"/>
  <c r="AE61" i="3"/>
  <c r="U61" i="3" s="1"/>
  <c r="Y61" i="3" s="1"/>
  <c r="AF61" i="3"/>
  <c r="AE58" i="3"/>
  <c r="Z58" i="3" s="1"/>
  <c r="AE105" i="3"/>
  <c r="Z105" i="3" s="1"/>
  <c r="AD105" i="3" s="1"/>
  <c r="AF105" i="3"/>
  <c r="AG142" i="3"/>
  <c r="X36" i="3"/>
  <c r="Y36" i="3" s="1"/>
  <c r="Y51" i="3"/>
  <c r="AB52" i="3"/>
  <c r="AC52" i="3" s="1"/>
  <c r="AD52" i="3" s="1"/>
  <c r="Y42" i="3"/>
  <c r="X43" i="3"/>
  <c r="Y43" i="3" s="1"/>
  <c r="AB57" i="3"/>
  <c r="AC57" i="3" s="1"/>
  <c r="W57" i="3"/>
  <c r="AH46" i="3"/>
  <c r="AA46" i="3"/>
  <c r="V46" i="3"/>
  <c r="V139" i="3" s="1"/>
  <c r="AJ99" i="3"/>
  <c r="AB99" i="3"/>
  <c r="AC99" i="3" s="1"/>
  <c r="W99" i="3"/>
  <c r="X52" i="3"/>
  <c r="Y52" i="3" s="1"/>
  <c r="X97" i="3"/>
  <c r="Y97" i="3" s="1"/>
  <c r="X92" i="3"/>
  <c r="Y92" i="3" s="1"/>
  <c r="AB58" i="3"/>
  <c r="AC58" i="3" s="1"/>
  <c r="W58" i="3"/>
  <c r="X58" i="3" s="1"/>
  <c r="AF22" i="3"/>
  <c r="AE63" i="3"/>
  <c r="AJ22" i="3"/>
  <c r="W22" i="3" s="1"/>
  <c r="AI98" i="3"/>
  <c r="AF98" i="3"/>
  <c r="AJ58" i="3"/>
  <c r="AJ55" i="3"/>
  <c r="AB55" i="3" s="1"/>
  <c r="AC55" i="3" s="1"/>
  <c r="D54" i="3"/>
  <c r="T54" i="3" s="1"/>
  <c r="AJ56" i="3"/>
  <c r="W56" i="3" s="1"/>
  <c r="AE50" i="3"/>
  <c r="AJ57" i="3"/>
  <c r="R53" i="3"/>
  <c r="F41" i="3"/>
  <c r="G41" i="3" s="1"/>
  <c r="AE41" i="3" s="1"/>
  <c r="T41" i="3" l="1"/>
  <c r="AF41" i="3" s="1"/>
  <c r="AF54" i="3"/>
  <c r="Y54" i="3" s="1"/>
  <c r="Z56" i="3"/>
  <c r="Z55" i="3"/>
  <c r="AD55" i="3" s="1"/>
  <c r="Z61" i="3"/>
  <c r="AD61" i="3" s="1"/>
  <c r="U105" i="3"/>
  <c r="Y105" i="3" s="1"/>
  <c r="U57" i="3"/>
  <c r="U58" i="3"/>
  <c r="Y58" i="3" s="1"/>
  <c r="Z99" i="3"/>
  <c r="AD99" i="3" s="1"/>
  <c r="U41" i="3"/>
  <c r="Y41" i="3" s="1"/>
  <c r="Z41" i="3"/>
  <c r="AD41" i="3" s="1"/>
  <c r="AE139" i="3"/>
  <c r="Z63" i="3"/>
  <c r="AD63" i="3" s="1"/>
  <c r="U63" i="3"/>
  <c r="Y63" i="3" s="1"/>
  <c r="AC46" i="3"/>
  <c r="AD46" i="3" s="1"/>
  <c r="AA139" i="3"/>
  <c r="U50" i="3"/>
  <c r="Z50" i="3"/>
  <c r="AB56" i="3"/>
  <c r="AC56" i="3" s="1"/>
  <c r="W55" i="3"/>
  <c r="X55" i="3" s="1"/>
  <c r="Y55" i="3" s="1"/>
  <c r="AD58" i="3"/>
  <c r="AB98" i="3"/>
  <c r="AC98" i="3" s="1"/>
  <c r="AD98" i="3" s="1"/>
  <c r="W98" i="3"/>
  <c r="X56" i="3"/>
  <c r="Y56" i="3" s="1"/>
  <c r="X46" i="3"/>
  <c r="Y46" i="3" s="1"/>
  <c r="X57" i="3"/>
  <c r="X99" i="3"/>
  <c r="Y99" i="3" s="1"/>
  <c r="X22" i="3"/>
  <c r="Y22" i="3" s="1"/>
  <c r="AD57" i="3"/>
  <c r="AB22" i="3"/>
  <c r="AC22" i="3" s="1"/>
  <c r="AJ98" i="3"/>
  <c r="AJ50" i="3"/>
  <c r="W50" i="3" s="1"/>
  <c r="Q53" i="3"/>
  <c r="O53" i="3"/>
  <c r="P53" i="3" s="1"/>
  <c r="M53" i="3"/>
  <c r="G139" i="3"/>
  <c r="T53" i="3" l="1"/>
  <c r="P139" i="3"/>
  <c r="AI53" i="3"/>
  <c r="AI139" i="3" s="1"/>
  <c r="AD56" i="3"/>
  <c r="Y57" i="3"/>
  <c r="AD22" i="3"/>
  <c r="AB50" i="3"/>
  <c r="AC50" i="3" s="1"/>
  <c r="X98" i="3"/>
  <c r="Y98" i="3" s="1"/>
  <c r="X50" i="3"/>
  <c r="G142" i="3"/>
  <c r="AE142" i="3"/>
  <c r="AI142" i="3" l="1"/>
  <c r="E190" i="3"/>
  <c r="E180" i="3"/>
  <c r="E177" i="3"/>
  <c r="E179" i="3"/>
  <c r="E186" i="3"/>
  <c r="E181" i="3"/>
  <c r="E191" i="3"/>
  <c r="E184" i="3"/>
  <c r="E185" i="3"/>
  <c r="E189" i="3"/>
  <c r="E183" i="3"/>
  <c r="E175" i="3"/>
  <c r="E187" i="3"/>
  <c r="E178" i="3"/>
  <c r="E182" i="3"/>
  <c r="Y50" i="3"/>
  <c r="AF53" i="3"/>
  <c r="D183" i="3"/>
  <c r="E188" i="3"/>
  <c r="D186" i="3"/>
  <c r="D189" i="3"/>
  <c r="D181" i="3"/>
  <c r="D175" i="3"/>
  <c r="D182" i="3"/>
  <c r="D187" i="3"/>
  <c r="D188" i="3"/>
  <c r="D191" i="3"/>
  <c r="D190" i="3"/>
  <c r="D184" i="3"/>
  <c r="D177" i="3"/>
  <c r="D179" i="3"/>
  <c r="D178" i="3"/>
  <c r="D185" i="3"/>
  <c r="D180" i="3"/>
  <c r="AJ53" i="3"/>
  <c r="Z53" i="3" l="1"/>
  <c r="Z139" i="3" s="1"/>
  <c r="U53" i="3"/>
  <c r="U139" i="3" s="1"/>
  <c r="W53" i="3"/>
  <c r="AD50" i="3"/>
  <c r="AB53" i="3"/>
  <c r="F178" i="3"/>
  <c r="G178" i="3" s="1"/>
  <c r="F184" i="3"/>
  <c r="G184" i="3" s="1"/>
  <c r="F180" i="3"/>
  <c r="G180" i="3" s="1"/>
  <c r="F181" i="3"/>
  <c r="G181" i="3" s="1"/>
  <c r="F187" i="3"/>
  <c r="G187" i="3" s="1"/>
  <c r="F186" i="3"/>
  <c r="G186" i="3" s="1"/>
  <c r="F191" i="3"/>
  <c r="G191" i="3" s="1"/>
  <c r="F189" i="3"/>
  <c r="G189" i="3" s="1"/>
  <c r="F185" i="3"/>
  <c r="G185" i="3" s="1"/>
  <c r="F179" i="3"/>
  <c r="G179" i="3" s="1"/>
  <c r="F188" i="3"/>
  <c r="G188" i="3" s="1"/>
  <c r="F183" i="3"/>
  <c r="G183" i="3" s="1"/>
  <c r="F175" i="3"/>
  <c r="G175" i="3" s="1"/>
  <c r="F190" i="3"/>
  <c r="G190" i="3" s="1"/>
  <c r="F177" i="3"/>
  <c r="G177" i="3" s="1"/>
  <c r="F182" i="3"/>
  <c r="G182" i="3" s="1"/>
  <c r="D176" i="3" l="1"/>
  <c r="D192" i="3" s="1"/>
  <c r="U142" i="3" s="1"/>
  <c r="AC53" i="3"/>
  <c r="AC139" i="3" s="1"/>
  <c r="AB139" i="3"/>
  <c r="X53" i="3"/>
  <c r="W139" i="3"/>
  <c r="Z142" i="3" l="1"/>
  <c r="D195" i="3"/>
  <c r="X139" i="3"/>
  <c r="Y139" i="3" s="1"/>
  <c r="E176" i="3"/>
  <c r="Y53" i="3"/>
  <c r="AD53" i="3"/>
  <c r="AD139" i="3" l="1"/>
  <c r="E192" i="3"/>
  <c r="AC142" i="3" s="1"/>
  <c r="F176" i="3"/>
  <c r="G176" i="3" s="1"/>
  <c r="X142" i="3" l="1"/>
  <c r="E195" i="3"/>
  <c r="G195" i="3" s="1"/>
  <c r="G192"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<sst xmlns="http://schemas.openxmlformats.org/spreadsheetml/2006/main" count="2754" uniqueCount="872">
  <si>
    <t>Ceremony</t>
  </si>
  <si>
    <t>Symbolic</t>
  </si>
  <si>
    <t>Civil</t>
  </si>
  <si>
    <t>Catholic</t>
  </si>
  <si>
    <t>PROVISIONAL / FINAL INVOICE</t>
  </si>
  <si>
    <t>Names</t>
  </si>
  <si>
    <t xml:space="preserve">Date  </t>
  </si>
  <si>
    <t>Hotel</t>
  </si>
  <si>
    <t xml:space="preserve">Wedding Date  </t>
  </si>
  <si>
    <t>Reservation</t>
  </si>
  <si>
    <t>Adult Guests Number</t>
  </si>
  <si>
    <t xml:space="preserve">Room  </t>
  </si>
  <si>
    <t xml:space="preserve"> (4-12yrs) Child Guests Number</t>
  </si>
  <si>
    <t>(12-17yrs) Teenage Guests Number</t>
  </si>
  <si>
    <t>Services</t>
  </si>
  <si>
    <t>Centro Productivo</t>
  </si>
  <si>
    <t>Guest/ Hours</t>
  </si>
  <si>
    <t>Rate Unit</t>
  </si>
  <si>
    <t>TOTAL</t>
  </si>
  <si>
    <t>Wedding Package (Paquete Bodas)</t>
  </si>
  <si>
    <t>BD-PACK</t>
  </si>
  <si>
    <t>USD</t>
  </si>
  <si>
    <t>Flowers (Flores)</t>
  </si>
  <si>
    <t>Deposit received</t>
  </si>
  <si>
    <t>TOTAL PENDING</t>
  </si>
  <si>
    <t>Important Information / Información Importante</t>
  </si>
  <si>
    <t xml:space="preserve">For security reasons, be aware only bride and groom can take off the bracelets on the wedding date. Once you finalize the photo session please go to the front desk for a new bracelet. The loss of it will result an additional charge of US$90.00 dollars. </t>
  </si>
  <si>
    <t xml:space="preserve">Por razones de seguridad, por favor notar que solo la pareja de bodas puede quitarse los brazaletes el día de la boda.  Una vez terminen la sesión de fotos por favor ir a recepción por unos nuevos brazaletes. La pérdida de brazaletes resultará en un cargo adicional de US$90.00 dólares. </t>
  </si>
  <si>
    <t>All charges have to be paid before the wedding day</t>
  </si>
  <si>
    <t>Payments are accepted in Cash (Mexican Pesos or US Dollars), and Credit Card (Visa, MasterCard or American Express).</t>
  </si>
  <si>
    <t>Todos los cargos realizados deben ser saldados antes del dia del evento</t>
  </si>
  <si>
    <t>Pagos serán recibidos en Efectivo (Pesos Mexicanos o Dólares Estadounidenses), y Tarjetas de Crédito (Visa, MasterCard o AmEx)</t>
  </si>
  <si>
    <t>Please sign as acceptance and aproval of the final invoice, and confirmation of the services requested. (Signature as Passport)</t>
  </si>
  <si>
    <t>Por favor fimar como aceptación de la proforma final, y confirmación de los servicios solicitados. (Firma como Pasaporte/INE)</t>
  </si>
  <si>
    <t>Wedding Coordinator /Coordinadora de Bodas</t>
  </si>
  <si>
    <t>(0-3yrs) Infant Guests Number</t>
  </si>
  <si>
    <t>Partner A:</t>
  </si>
  <si>
    <t>Partner B:</t>
  </si>
  <si>
    <t>Pronouns:</t>
  </si>
  <si>
    <t>Wedding Date:</t>
  </si>
  <si>
    <t>Check-Out Date:</t>
  </si>
  <si>
    <t>Arrival Flight:</t>
  </si>
  <si>
    <t>Departure Flight:</t>
  </si>
  <si>
    <t>Hotel:</t>
  </si>
  <si>
    <t>Reservation #:</t>
  </si>
  <si>
    <t>Travel Agent:</t>
  </si>
  <si>
    <t>Travel Agency:</t>
  </si>
  <si>
    <t>Phone Number:</t>
  </si>
  <si>
    <t>Photo</t>
  </si>
  <si>
    <t>Adults (+18yrs)</t>
  </si>
  <si>
    <t>Children (4-12yrs)</t>
  </si>
  <si>
    <t>Names:</t>
  </si>
  <si>
    <t>Country:</t>
  </si>
  <si>
    <t>Zip Code:</t>
  </si>
  <si>
    <t>Address:</t>
  </si>
  <si>
    <t>Package:</t>
  </si>
  <si>
    <t>Location:</t>
  </si>
  <si>
    <t>Time:</t>
  </si>
  <si>
    <t>Live Music:</t>
  </si>
  <si>
    <t>Officiant:</t>
  </si>
  <si>
    <t>Price</t>
  </si>
  <si>
    <t>Package</t>
  </si>
  <si>
    <t>Beach Gazebo</t>
  </si>
  <si>
    <t>Garden Gazebo</t>
  </si>
  <si>
    <t>Sky Wedding Gazebo</t>
  </si>
  <si>
    <t>Beach Area</t>
  </si>
  <si>
    <t>Restaurant</t>
  </si>
  <si>
    <t>Cocktail</t>
  </si>
  <si>
    <t>Reception</t>
  </si>
  <si>
    <t>Beach Bar</t>
  </si>
  <si>
    <t>Piano Bar</t>
  </si>
  <si>
    <t>Sunset Terrace</t>
  </si>
  <si>
    <t>Convention Center</t>
  </si>
  <si>
    <t>Saxophonist</t>
  </si>
  <si>
    <t>Banda Sinaloense</t>
  </si>
  <si>
    <t>Banda Norteña</t>
  </si>
  <si>
    <t>Pianist</t>
  </si>
  <si>
    <t>Guitarist</t>
  </si>
  <si>
    <t>Flamenco Guitarist</t>
  </si>
  <si>
    <t>Violinist</t>
  </si>
  <si>
    <t>Violinist LED</t>
  </si>
  <si>
    <t>Celloist</t>
  </si>
  <si>
    <t>Harp (Concert)</t>
  </si>
  <si>
    <t>Interactive Saxophonist</t>
  </si>
  <si>
    <t>Interactive Violinist</t>
  </si>
  <si>
    <t>Duet (without Harp)</t>
  </si>
  <si>
    <t>Duet (Harp &amp; Cello)</t>
  </si>
  <si>
    <t>Duet (incl. Harp)</t>
  </si>
  <si>
    <t>Trio (without Harp)</t>
  </si>
  <si>
    <t>Trio (incl. Harp)</t>
  </si>
  <si>
    <t>Quartet (without Harp)</t>
  </si>
  <si>
    <t>Quartet (incl. Harp)</t>
  </si>
  <si>
    <t>Jazz Trio</t>
  </si>
  <si>
    <t>Jazz Quartet</t>
  </si>
  <si>
    <t>Caribbean/Romantic Trio</t>
  </si>
  <si>
    <t>Mariachi (6 elements)</t>
  </si>
  <si>
    <t>Wedding Coordinador</t>
  </si>
  <si>
    <t>Officiant ($)</t>
  </si>
  <si>
    <t>Family / Friend</t>
  </si>
  <si>
    <t>Comments:</t>
  </si>
  <si>
    <t>$</t>
  </si>
  <si>
    <t>Outside Guests:</t>
  </si>
  <si>
    <t>Mannia</t>
  </si>
  <si>
    <t>Lighted DJ Booth</t>
  </si>
  <si>
    <t>White booth</t>
  </si>
  <si>
    <t>LOVE sign</t>
  </si>
  <si>
    <t>I DO sign</t>
  </si>
  <si>
    <t>BISTRO 3 TIRAS</t>
  </si>
  <si>
    <t>BISTRO 4 TIRAS</t>
  </si>
  <si>
    <t>BISTRO 5 TIRAS</t>
  </si>
  <si>
    <t>BISTRO 6 TIRAS</t>
  </si>
  <si>
    <t>BISTRO 7 TIRAS</t>
  </si>
  <si>
    <t>BISTRO 9 TIRAS</t>
  </si>
  <si>
    <t>BISTRO 12 TIRAS</t>
  </si>
  <si>
    <t>BISTRO 13 TIRAS</t>
  </si>
  <si>
    <t>Smoke machine</t>
  </si>
  <si>
    <t>Bubble Machine</t>
  </si>
  <si>
    <t>Confetti Machine</t>
  </si>
  <si>
    <t>Prop package 1</t>
  </si>
  <si>
    <t>Prop package 2</t>
  </si>
  <si>
    <t>Prop package 3</t>
  </si>
  <si>
    <t>Gama</t>
  </si>
  <si>
    <t>Minimal</t>
  </si>
  <si>
    <t>Catrina</t>
  </si>
  <si>
    <t>Video Booth 360 2hrs</t>
  </si>
  <si>
    <t>Video Booth 360 3hrs</t>
  </si>
  <si>
    <t>Magic Mirror 2 hrs</t>
  </si>
  <si>
    <t>Photobooth 2 hrs</t>
  </si>
  <si>
    <t>Photobooth 3 hrs</t>
  </si>
  <si>
    <t>Drums In Paradise</t>
  </si>
  <si>
    <t>Party Pack Samba</t>
  </si>
  <si>
    <t>Party Pack Awesome</t>
  </si>
  <si>
    <t>Pyro Caribe</t>
  </si>
  <si>
    <t>Indoor Fireworks 4 units</t>
  </si>
  <si>
    <t>Indoor Fireworks 6 units</t>
  </si>
  <si>
    <t>Indoor Fireworks 8 units</t>
  </si>
  <si>
    <t xml:space="preserve">CO2 LED Gun </t>
  </si>
  <si>
    <t>Color Smoke 5 units</t>
  </si>
  <si>
    <t>Color Smoke aditional unit</t>
  </si>
  <si>
    <t>Fog Machine (10 mins)</t>
  </si>
  <si>
    <t>Day Fireworks (5mts) 5 units</t>
  </si>
  <si>
    <t>Day Fireworks (15mts) 5 units</t>
  </si>
  <si>
    <t>Showtime</t>
  </si>
  <si>
    <t>Sound System</t>
  </si>
  <si>
    <t>DJ / MC</t>
  </si>
  <si>
    <t>DJ / MC w/ 2 robotic lights</t>
  </si>
  <si>
    <t>DJ / MC w/ 4 robotic lights</t>
  </si>
  <si>
    <t>Extra Hour DJ</t>
  </si>
  <si>
    <t>12x12ft Dark Wooden</t>
  </si>
  <si>
    <t>16x16ft Dark Wooden</t>
  </si>
  <si>
    <t>20x20ft Dark Wooden</t>
  </si>
  <si>
    <t>12x12ft White Vinyl</t>
  </si>
  <si>
    <t>16x16ft White Vinyl</t>
  </si>
  <si>
    <t>20x20ft White Vinyl</t>
  </si>
  <si>
    <t>12x12ft Black Crystal</t>
  </si>
  <si>
    <t>16x16ft Black Crystal</t>
  </si>
  <si>
    <t>20x20ft Black Crystal</t>
  </si>
  <si>
    <t>12x12ft WhiteCrystal</t>
  </si>
  <si>
    <t>16x16ft White Crystal</t>
  </si>
  <si>
    <t>20x20ft White Crystal</t>
  </si>
  <si>
    <t>Initials</t>
  </si>
  <si>
    <t>Up Lights (LED 64)</t>
  </si>
  <si>
    <t>Chinese Lanterns</t>
  </si>
  <si>
    <t>(Dimmer Look) Just Frame</t>
  </si>
  <si>
    <t>(Romantic Look) ZigZag without Frame</t>
  </si>
  <si>
    <t>(Brighter Look) ZigZag with frame</t>
  </si>
  <si>
    <t># 1 (up to 40 guests)</t>
  </si>
  <si>
    <t># 1 (extra guest)</t>
  </si>
  <si>
    <t># 2 (up to 40 guests)</t>
  </si>
  <si>
    <t># 2 (extra guest)</t>
  </si>
  <si>
    <t># 3 (up to 40 guests)</t>
  </si>
  <si>
    <t># 3 (extra guests)</t>
  </si>
  <si>
    <t>Rustic (up to 40 guests)</t>
  </si>
  <si>
    <t>Rustic (extra guests)</t>
  </si>
  <si>
    <t>Boho (up to 40 guests)</t>
  </si>
  <si>
    <t>Boho (extra guests)</t>
  </si>
  <si>
    <t>Elegant Luxury (up to 40 guests)</t>
  </si>
  <si>
    <t># 1 (extra guests)</t>
  </si>
  <si>
    <t># 2 (extra guests)</t>
  </si>
  <si>
    <t>Ceremonies</t>
  </si>
  <si>
    <t>Receptions</t>
  </si>
  <si>
    <t>Cocktail Hour</t>
  </si>
  <si>
    <t>Rustic</t>
  </si>
  <si>
    <t>Boho</t>
  </si>
  <si>
    <t>Elegant Luxury</t>
  </si>
  <si>
    <t>Elegant Luxury (extra guests)</t>
  </si>
  <si>
    <t>Water Drums (2 artists)</t>
  </si>
  <si>
    <t>Fire &amp; Water (2 artists)</t>
  </si>
  <si>
    <t>Glow &amp; Water (5 artists)</t>
  </si>
  <si>
    <t>Brazilian Drummers (5 artirsts)</t>
  </si>
  <si>
    <t>African Drummers (5 artists)</t>
  </si>
  <si>
    <t>Venezuelan Drummers (5 artists)</t>
  </si>
  <si>
    <t>Zaffa Drummers (3 artists)</t>
  </si>
  <si>
    <t>Pre-Hispanic (8 artists)</t>
  </si>
  <si>
    <t>Party Pack Percussion</t>
  </si>
  <si>
    <t>Glow Crazy Time</t>
  </si>
  <si>
    <t>Brazilian Crazy Time</t>
  </si>
  <si>
    <t>Cabezones Crazy Time</t>
  </si>
  <si>
    <t>Belly Dance (2 artists)</t>
  </si>
  <si>
    <t>Fire Show (3 artists)</t>
  </si>
  <si>
    <t>Cartoon Drawer</t>
  </si>
  <si>
    <t>Mayan Ceremony ($)</t>
  </si>
  <si>
    <t>Package 1 - Low Intensity</t>
  </si>
  <si>
    <t>Package 2 - Low Intensity</t>
  </si>
  <si>
    <t>Package 3 - Low Intensity</t>
  </si>
  <si>
    <t>Package 5 - Mid/High Intensity</t>
  </si>
  <si>
    <t>Package 4 - Mid/High Intensity</t>
  </si>
  <si>
    <t>Package 6 - Mid/High Intensity</t>
  </si>
  <si>
    <t>Cold Fireworks 4 units</t>
  </si>
  <si>
    <t>Cold Fireworks 8 units</t>
  </si>
  <si>
    <t>Sparklers Reg 17 inches</t>
  </si>
  <si>
    <t>Sparklers Reg 35 inches</t>
  </si>
  <si>
    <t>Florería Jazmín</t>
  </si>
  <si>
    <t>Globos</t>
  </si>
  <si>
    <t>Pimienta Rosa</t>
  </si>
  <si>
    <t>Creative Lab</t>
  </si>
  <si>
    <t>Option 1</t>
  </si>
  <si>
    <t>Option 2</t>
  </si>
  <si>
    <t>Option 3</t>
  </si>
  <si>
    <t>Option 4</t>
  </si>
  <si>
    <t>Option 5</t>
  </si>
  <si>
    <t>Decor Set Up 0-20 guests</t>
  </si>
  <si>
    <t>Decor Set Up 21-50 guests</t>
  </si>
  <si>
    <t>Decor Set Up 51-80 guests</t>
  </si>
  <si>
    <t>Decor Set Up 81-100 guests</t>
  </si>
  <si>
    <t>Decor Set Up 101+ guests</t>
  </si>
  <si>
    <t>Package 1</t>
  </si>
  <si>
    <t>Package 2</t>
  </si>
  <si>
    <t>Package 3</t>
  </si>
  <si>
    <t>Package 4</t>
  </si>
  <si>
    <t>Package 5</t>
  </si>
  <si>
    <t>Package 6</t>
  </si>
  <si>
    <t>Package 7 Air</t>
  </si>
  <si>
    <t>Package 7 Helium</t>
  </si>
  <si>
    <t>Stationery</t>
  </si>
  <si>
    <t>AD/JU</t>
  </si>
  <si>
    <t>CH</t>
  </si>
  <si>
    <t>Sound System only</t>
  </si>
  <si>
    <t>Hair &amp; Makeup</t>
  </si>
  <si>
    <t>Love &amp; Vows</t>
  </si>
  <si>
    <t>Cores Films</t>
  </si>
  <si>
    <t>Jamie Dimitry</t>
  </si>
  <si>
    <t>Outside Vendor</t>
  </si>
  <si>
    <t>Spa</t>
  </si>
  <si>
    <t>Bridal Suite</t>
  </si>
  <si>
    <t>Florals</t>
  </si>
  <si>
    <t>As per quote with Florist</t>
  </si>
  <si>
    <t>Decoration</t>
  </si>
  <si>
    <t>Majestic Elegance Costa Mujeres</t>
  </si>
  <si>
    <t>Majestic Mirage Costa Mujeres</t>
  </si>
  <si>
    <t>He</t>
  </si>
  <si>
    <t>She</t>
  </si>
  <si>
    <t>They</t>
  </si>
  <si>
    <t>Yes</t>
  </si>
  <si>
    <t>No</t>
  </si>
  <si>
    <t>Family/Friends</t>
  </si>
  <si>
    <t>Details:</t>
  </si>
  <si>
    <t>Stationery:</t>
  </si>
  <si>
    <t>Option 8 Lux 03</t>
  </si>
  <si>
    <t>Option 7 Lux 02</t>
  </si>
  <si>
    <t>Option 6 Lux 01</t>
  </si>
  <si>
    <t>Option 9 Lux 04</t>
  </si>
  <si>
    <t>Additional Items:</t>
  </si>
  <si>
    <t>Room</t>
  </si>
  <si>
    <t>Menu:</t>
  </si>
  <si>
    <t># Bridesmaids:</t>
  </si>
  <si>
    <t># Groomsmen:</t>
  </si>
  <si>
    <t>Mexican</t>
  </si>
  <si>
    <t>American</t>
  </si>
  <si>
    <t>Asian</t>
  </si>
  <si>
    <t>International</t>
  </si>
  <si>
    <t>CEREMONY</t>
  </si>
  <si>
    <t>GETTING READY</t>
  </si>
  <si>
    <t>COCKTAIL HOUR</t>
  </si>
  <si>
    <t>Location</t>
  </si>
  <si>
    <t>Sky</t>
  </si>
  <si>
    <t>Selection:</t>
  </si>
  <si>
    <t>C: Mini skewer of strawberry, goat cheese, arugula, caramelized walnut, and balsamic vinaigrette</t>
  </si>
  <si>
    <t>C: Creamy brie cheese soup with walnut bread and apricot jam</t>
  </si>
  <si>
    <t>C: Crispy tortilla with watermelon, avocado cream, and sesame chili vinaigrette</t>
  </si>
  <si>
    <t>C: Tequila-marinated guacamole with mint, cactus, cucumber, and colorful crispy tortilla</t>
  </si>
  <si>
    <t>C: Sushi donut with smoked salmon</t>
  </si>
  <si>
    <t>C: Tuna tostada with chipotle mayo, pickled red onion, avocado, and crispy leek</t>
  </si>
  <si>
    <t>C: Cauliflower and broccoli couscous with sundried tomato, herbs, and dried fruits</t>
  </si>
  <si>
    <t>H: Pumpkin tapenade with octopus in a red wine and beetroot sauce</t>
  </si>
  <si>
    <t>H: Asian pork delights with hoisin sauce</t>
  </si>
  <si>
    <t>H: Mini beef burger with caramelized onion, brie cheese, arugula, and mustard</t>
  </si>
  <si>
    <t>H: Tempura fish taco with habanero mayonnaise, cabbage, and Mexican salsa</t>
  </si>
  <si>
    <t>H: Roasted mini hasselback potatoes with herb butter and porcini sauce</t>
  </si>
  <si>
    <t>H: Mini crispy tacos</t>
  </si>
  <si>
    <t>H: Coconut shrimp skewer with tamarind sauce</t>
  </si>
  <si>
    <t>H: Mini tart with mushroom, pumpkin, and tofu</t>
  </si>
  <si>
    <t>2 Cold / 2 Hot</t>
  </si>
  <si>
    <t>3 Cold / 3 Hot</t>
  </si>
  <si>
    <t>Private:</t>
  </si>
  <si>
    <t>Music:</t>
  </si>
  <si>
    <t>Additional Guests</t>
  </si>
  <si>
    <t>Additional Guests:</t>
  </si>
  <si>
    <t>Qty</t>
  </si>
  <si>
    <t>Guests:</t>
  </si>
  <si>
    <t>Food Restrictions</t>
  </si>
  <si>
    <t>Comments</t>
  </si>
  <si>
    <t>**If doing Hair &amp; Makeup at the Spa, please confirm the appointments with: spa04.mecm@majestic-resorts.com</t>
  </si>
  <si>
    <t>Balloon Decor:</t>
  </si>
  <si>
    <t>DINNER / RECEPTION</t>
  </si>
  <si>
    <t>Menu</t>
  </si>
  <si>
    <t>Wedding Set Menu</t>
  </si>
  <si>
    <t>Restaurant Set Menu</t>
  </si>
  <si>
    <t>BBQ Party</t>
  </si>
  <si>
    <t>Taco Party</t>
  </si>
  <si>
    <t>Indo-Chinese Station</t>
  </si>
  <si>
    <t>Wok Station</t>
  </si>
  <si>
    <t>Trompo Pastor Station</t>
  </si>
  <si>
    <t>Pizza Time</t>
  </si>
  <si>
    <t>Late Night Snacks 1</t>
  </si>
  <si>
    <t>Late Night Snacks 2</t>
  </si>
  <si>
    <t>Elotes Station</t>
  </si>
  <si>
    <t>Esquites Station</t>
  </si>
  <si>
    <t>Dorilocos Station</t>
  </si>
  <si>
    <t>Cold Cuts &amp; Cheeses</t>
  </si>
  <si>
    <t>Popcorn Bar</t>
  </si>
  <si>
    <t>Desserts Table</t>
  </si>
  <si>
    <t>Churros Station</t>
  </si>
  <si>
    <t>Donuts Station</t>
  </si>
  <si>
    <t>Cupcakes</t>
  </si>
  <si>
    <t>Popsicle Cart</t>
  </si>
  <si>
    <t>Minicups Cart</t>
  </si>
  <si>
    <t>Ice Cream Option 1</t>
  </si>
  <si>
    <t>Ice Cream Option 2</t>
  </si>
  <si>
    <t>Ice Cream Option 3</t>
  </si>
  <si>
    <t>Seating Plan:</t>
  </si>
  <si>
    <t>CAKE</t>
  </si>
  <si>
    <t>Tier</t>
  </si>
  <si>
    <t>Flavor</t>
  </si>
  <si>
    <t>Filling</t>
  </si>
  <si>
    <t>Vanilla</t>
  </si>
  <si>
    <t>Chocolate</t>
  </si>
  <si>
    <t>Banana</t>
  </si>
  <si>
    <t>Strawberry</t>
  </si>
  <si>
    <t>Passion Fruit</t>
  </si>
  <si>
    <t>Guava</t>
  </si>
  <si>
    <t>Coconut</t>
  </si>
  <si>
    <t>Pineapple</t>
  </si>
  <si>
    <t>Dulce de Leche</t>
  </si>
  <si>
    <t>Bavarian</t>
  </si>
  <si>
    <t>Chocolate Mousse</t>
  </si>
  <si>
    <t>DECORATION</t>
  </si>
  <si>
    <t>AUDIOVISUAL &amp; EXTRAS</t>
  </si>
  <si>
    <t>DJ Options:</t>
  </si>
  <si>
    <t>Live Band</t>
  </si>
  <si>
    <t>Dance Floor:</t>
  </si>
  <si>
    <t>Included</t>
  </si>
  <si>
    <t>DJ Booth:</t>
  </si>
  <si>
    <t>Extras</t>
  </si>
  <si>
    <t>Robotic Lights</t>
  </si>
  <si>
    <t>Fireworks</t>
  </si>
  <si>
    <t>Fecha de boda</t>
  </si>
  <si>
    <t>Nombres de los novios</t>
  </si>
  <si>
    <t>Hora</t>
  </si>
  <si>
    <t># Pax</t>
  </si>
  <si>
    <t>Coordinadora</t>
  </si>
  <si>
    <t>Ceremonia</t>
  </si>
  <si>
    <t>Live Shows:</t>
  </si>
  <si>
    <t>Photobooth:</t>
  </si>
  <si>
    <t>Additional Notes</t>
  </si>
  <si>
    <t>Non Private Dinner (if not using this on wedding day)</t>
  </si>
  <si>
    <t>Non Private Cocktail Hour</t>
  </si>
  <si>
    <t>VENDORS</t>
  </si>
  <si>
    <t>DJ / Audiovisual</t>
  </si>
  <si>
    <t>Florist</t>
  </si>
  <si>
    <t>Live Music</t>
  </si>
  <si>
    <t>Wedding Planner</t>
  </si>
  <si>
    <t>Company:</t>
  </si>
  <si>
    <t>Live Painting</t>
  </si>
  <si>
    <t>25-50 guests (15-20 sketches)</t>
  </si>
  <si>
    <t>80-100 guests (40-50 sketches)</t>
  </si>
  <si>
    <t>120-150 guests (60-75 sketches)</t>
  </si>
  <si>
    <t>200 guests (100 sketches)</t>
  </si>
  <si>
    <t>300 guests (150 sketches)</t>
  </si>
  <si>
    <t>Live Painting:</t>
  </si>
  <si>
    <t>Date:</t>
  </si>
  <si>
    <t>MAJESTIC TREATMENT</t>
  </si>
  <si>
    <t>Romantic Breakfast</t>
  </si>
  <si>
    <t>Romantic Dinner</t>
  </si>
  <si>
    <t>Sky Terrace</t>
  </si>
  <si>
    <t>Main Menu:</t>
  </si>
  <si>
    <t>Add Ons:</t>
  </si>
  <si>
    <t>Classy Buffet (3 hrs of Open Bar)</t>
  </si>
  <si>
    <t>Fancy Buffet (3 hrs of Open Bar)</t>
  </si>
  <si>
    <t>Luxury Buffet (3 hrs of Open Bar)</t>
  </si>
  <si>
    <t>Mexican Buffet (3 hrs of Open Bar)</t>
  </si>
  <si>
    <t>Vegan Buffet (3 hrs of Open Bar)</t>
  </si>
  <si>
    <t>Plated Dinner* (3 hrs of Open Bar)</t>
  </si>
  <si>
    <t>Family Style (3 hrs of Open Bar)</t>
  </si>
  <si>
    <t>Luxe Family Style (3 hrs of Open Bar)</t>
  </si>
  <si>
    <t>Deluxe Indian Buffet (3 hrs of Open Bar)</t>
  </si>
  <si>
    <t>Premium Indian Buffet (3 hrs of Open Bar)</t>
  </si>
  <si>
    <t>Prestige Indian Buffet (3 hrs of Open Bar)</t>
  </si>
  <si>
    <t>Exclusive Indian Buffet (3 hrs of Open Bar)</t>
  </si>
  <si>
    <t>International Indian Buffet (3 hrs of Open Bar)</t>
  </si>
  <si>
    <t>DIY Indian 1 Buffet (3 hrs of Open Bar)</t>
  </si>
  <si>
    <t>DIY Indian 2 Buffet (3 hrs of Open Bar)</t>
  </si>
  <si>
    <t>DIY Indian 3 Buffet (3 hrs of Open Bar)</t>
  </si>
  <si>
    <t>DIY Indian 4 Buffet (3 hrs of Open Bar)</t>
  </si>
  <si>
    <t>Bistro Lights for outdoors:</t>
  </si>
  <si>
    <t>Lanterns for Bistro Lights:</t>
  </si>
  <si>
    <t>Other (please specify)</t>
  </si>
  <si>
    <t>Extra Hour of Photobooth</t>
  </si>
  <si>
    <t>Reserved with Love &amp; Vows</t>
  </si>
  <si>
    <t>Private Event (2 hour minimum required)</t>
  </si>
  <si>
    <t>Start Time:</t>
  </si>
  <si>
    <t>End Time:</t>
  </si>
  <si>
    <t>Total # Hours:</t>
  </si>
  <si>
    <t>Legends Sports Lounge</t>
  </si>
  <si>
    <t>Selections:</t>
  </si>
  <si>
    <t>Chapel (if Catholic)</t>
  </si>
  <si>
    <t>For Catholic - Priest / For Civil - Judge</t>
  </si>
  <si>
    <t>Bridal</t>
  </si>
  <si>
    <t>Churchill</t>
  </si>
  <si>
    <t>Welcome Bags</t>
  </si>
  <si>
    <t>ADDITIONALS</t>
  </si>
  <si>
    <t>Options:</t>
  </si>
  <si>
    <t>Delivered by Hotel</t>
  </si>
  <si>
    <t>Welcome Bag Delivery</t>
  </si>
  <si>
    <t>Music</t>
  </si>
  <si>
    <t>Open Bar</t>
  </si>
  <si>
    <t>Dinner / Reception</t>
  </si>
  <si>
    <t>AlexTrax</t>
  </si>
  <si>
    <t>Pinta y Tinto</t>
  </si>
  <si>
    <t>BD-AUDIO</t>
  </si>
  <si>
    <t>BD-BNQET</t>
  </si>
  <si>
    <t>BD-DECO</t>
  </si>
  <si>
    <t>BD-DJ</t>
  </si>
  <si>
    <t>BD-EXTRA</t>
  </si>
  <si>
    <t>BD-FLORE</t>
  </si>
  <si>
    <t>BD-FOTOS</t>
  </si>
  <si>
    <t>BD-FOTOSM</t>
  </si>
  <si>
    <t>BD-MUSIC</t>
  </si>
  <si>
    <t>BD-OPBAR</t>
  </si>
  <si>
    <t>BD-PASTO</t>
  </si>
  <si>
    <t>BD-PS</t>
  </si>
  <si>
    <t>BD-SALON</t>
  </si>
  <si>
    <t>BD-SHOW</t>
  </si>
  <si>
    <t>BD-TABAC</t>
  </si>
  <si>
    <t>BD-SPA</t>
  </si>
  <si>
    <t>DPASSAD</t>
  </si>
  <si>
    <t>DTO_CNT</t>
  </si>
  <si>
    <t>Open Bar (3 hrs included in buffet)</t>
  </si>
  <si>
    <t>Open Bar Additional Hour</t>
  </si>
  <si>
    <t>#</t>
  </si>
  <si>
    <t>Fecha</t>
  </si>
  <si>
    <t>Novios</t>
  </si>
  <si>
    <t>Pax</t>
  </si>
  <si>
    <t>Actividad</t>
  </si>
  <si>
    <t>Lugar</t>
  </si>
  <si>
    <t>Menú / Bebidas</t>
  </si>
  <si>
    <t>Departamentos Involucrados</t>
  </si>
  <si>
    <t># Reserva</t>
  </si>
  <si>
    <t>Coord.</t>
  </si>
  <si>
    <t>Llegada</t>
  </si>
  <si>
    <t>Recepción</t>
  </si>
  <si>
    <t>Cena de bienvenida NO PRIVADA</t>
  </si>
  <si>
    <t>AyB, Cocina, RRPP</t>
  </si>
  <si>
    <t>Picaderas NOVIA</t>
  </si>
  <si>
    <t>AyB, Cocina, Room service, RRPP</t>
  </si>
  <si>
    <t>Picaderas NOVIO</t>
  </si>
  <si>
    <t>Habitación</t>
  </si>
  <si>
    <t>Cocktail de boda NO PRIVADO</t>
  </si>
  <si>
    <t>Desayuno Romántico</t>
  </si>
  <si>
    <t>Set Menu</t>
  </si>
  <si>
    <t>Cena Romántica</t>
  </si>
  <si>
    <t xml:space="preserve">Terraza Brisas </t>
  </si>
  <si>
    <t>Salida</t>
  </si>
  <si>
    <t>Cocktail de bienvenida NO PRIVADA</t>
  </si>
  <si>
    <t>Fiesta de bienvenida PRIVADA</t>
  </si>
  <si>
    <t>Cena de boda NO PRIVADA</t>
  </si>
  <si>
    <t>Fiesta de boda PRIVADA</t>
  </si>
  <si>
    <t>Espumoso y agua</t>
  </si>
  <si>
    <t>Fecha Boda</t>
  </si>
  <si>
    <t>Hab</t>
  </si>
  <si>
    <t>Reserva Hab</t>
  </si>
  <si>
    <t>Check-In</t>
  </si>
  <si>
    <t>Novia</t>
  </si>
  <si>
    <t>Desyuno Romántico</t>
  </si>
  <si>
    <t># Hab</t>
  </si>
  <si>
    <t>Check-Out</t>
  </si>
  <si>
    <t>Novio</t>
  </si>
  <si>
    <t>Brisas</t>
  </si>
  <si>
    <t>Adultos (18+)</t>
  </si>
  <si>
    <t>Observaciones</t>
  </si>
  <si>
    <t>Teens (13-17yrs)</t>
  </si>
  <si>
    <t>Babies (0-3yrs)</t>
  </si>
  <si>
    <t>Welcome Event 1</t>
  </si>
  <si>
    <t>Tipo de Evento</t>
  </si>
  <si>
    <t># Platos Foto/Video</t>
  </si>
  <si>
    <t>Hora Inicio</t>
  </si>
  <si>
    <t>Hora Terminar</t>
  </si>
  <si>
    <t>Menus</t>
  </si>
  <si>
    <t>Signature Drink</t>
  </si>
  <si>
    <t>Observaciones / Aperitivos</t>
  </si>
  <si>
    <t>Alergias / Notas</t>
  </si>
  <si>
    <t>Montaje Hotel</t>
  </si>
  <si>
    <t># Mesas Redondas</t>
  </si>
  <si>
    <t>Servilletas</t>
  </si>
  <si>
    <t># Mesa de Novios</t>
  </si>
  <si>
    <t>Manteles</t>
  </si>
  <si>
    <t># Mesa de Bienvenida</t>
  </si>
  <si>
    <t>Copas</t>
  </si>
  <si>
    <t># Mesa de Fotografos</t>
  </si>
  <si>
    <t>Cubertería</t>
  </si>
  <si>
    <t>Mesa DJ</t>
  </si>
  <si>
    <t>Barra</t>
  </si>
  <si>
    <t>Mesa Pastel</t>
  </si>
  <si>
    <t># Mesas Cocteleras</t>
  </si>
  <si>
    <t>Tipo T</t>
  </si>
  <si>
    <t>Sillas Banquete</t>
  </si>
  <si>
    <t>Tipo U</t>
  </si>
  <si>
    <t>Sillas Tiffany Blancas</t>
  </si>
  <si>
    <t>Herradura</t>
  </si>
  <si>
    <t>Sillas Tiffany Doradas</t>
  </si>
  <si>
    <t>Mesas Largas</t>
  </si>
  <si>
    <t># Sillas de Bebé</t>
  </si>
  <si>
    <t>Proveedor Trae</t>
  </si>
  <si>
    <t>Sillas</t>
  </si>
  <si>
    <t>Mesas</t>
  </si>
  <si>
    <t>Contrabarra</t>
  </si>
  <si>
    <t>Música en Vivo</t>
  </si>
  <si>
    <t>Pista de Baile</t>
  </si>
  <si>
    <t>DJ</t>
  </si>
  <si>
    <t>Luces Bistro</t>
  </si>
  <si>
    <t>Platos Base</t>
  </si>
  <si>
    <t>Proveedores</t>
  </si>
  <si>
    <t>Requiere sombrilla para musica en vivo</t>
  </si>
  <si>
    <t>Welcome Event 2</t>
  </si>
  <si>
    <t>Montaje Listo (1hr antes)</t>
  </si>
  <si>
    <t>Si</t>
  </si>
  <si>
    <t>Mesa Ministro</t>
  </si>
  <si>
    <t>Mesa Animación</t>
  </si>
  <si>
    <t>Observaciones:</t>
  </si>
  <si>
    <t>Deco Pasillo</t>
  </si>
  <si>
    <t>Drapeado</t>
  </si>
  <si>
    <t>Essenza</t>
  </si>
  <si>
    <t>Coctel Privado</t>
  </si>
  <si>
    <t>Bebida de Bienvenida</t>
  </si>
  <si>
    <t>Aperitivos Elegidos</t>
  </si>
  <si>
    <t>Alergias / Observaciones:</t>
  </si>
  <si>
    <t>Sillas Cocteleras</t>
  </si>
  <si>
    <t>Mesas Cocteleras</t>
  </si>
  <si>
    <t>Área Lounge</t>
  </si>
  <si>
    <t>Cena de Boda Restaurante</t>
  </si>
  <si>
    <t>Pastel</t>
  </si>
  <si>
    <t>Foto</t>
  </si>
  <si>
    <t>Pisos</t>
  </si>
  <si>
    <t>2 Pisos</t>
  </si>
  <si>
    <t>Forma</t>
  </si>
  <si>
    <t>Redondo</t>
  </si>
  <si>
    <t>Piso Arriba</t>
  </si>
  <si>
    <t>Alergias/Observaciones</t>
  </si>
  <si>
    <t>Piso Medio</t>
  </si>
  <si>
    <t>Piso Abajo</t>
  </si>
  <si>
    <t>Evento Boda Privado</t>
  </si>
  <si>
    <t>Cena y Fiesta Privada</t>
  </si>
  <si>
    <t>Farewell Event</t>
  </si>
  <si>
    <t>In room Menu</t>
  </si>
  <si>
    <t>6:00 PM</t>
  </si>
  <si>
    <t>7:00 PM</t>
  </si>
  <si>
    <t>8:00 PM</t>
  </si>
  <si>
    <t>9:00 PM</t>
  </si>
  <si>
    <t>10:00 PM</t>
  </si>
  <si>
    <t>11:00 PM</t>
  </si>
  <si>
    <t>1:00 PM</t>
  </si>
  <si>
    <t>2:00 PM</t>
  </si>
  <si>
    <t>3:00 PM</t>
  </si>
  <si>
    <t>4:00 PM</t>
  </si>
  <si>
    <t>5:00 PM</t>
  </si>
  <si>
    <t>12:00 PM</t>
  </si>
  <si>
    <t>11:00 AM</t>
  </si>
  <si>
    <t>9:00 AM</t>
  </si>
  <si>
    <t>10:00 AM</t>
  </si>
  <si>
    <t>12:00 AM</t>
  </si>
  <si>
    <t>1:00 AM</t>
  </si>
  <si>
    <t>2:00 AM</t>
  </si>
  <si>
    <t>3:00 AM</t>
  </si>
  <si>
    <t>4:00 AM</t>
  </si>
  <si>
    <t>Alina Monroy</t>
  </si>
  <si>
    <t>Evento</t>
  </si>
  <si>
    <t>Locación</t>
  </si>
  <si>
    <t>Horas</t>
  </si>
  <si>
    <t>ADICIONALES</t>
  </si>
  <si>
    <t>Pre / Post</t>
  </si>
  <si>
    <t>In House Photo / Video (Foto / Video)</t>
  </si>
  <si>
    <t>Menú Bridal</t>
  </si>
  <si>
    <t>Menú Churchill</t>
  </si>
  <si>
    <t>=Planner!$G$50</t>
  </si>
  <si>
    <t>.</t>
  </si>
  <si>
    <t>SKY Deposit</t>
  </si>
  <si>
    <t>Prices have taxes included. Prices are valid for 2026.</t>
  </si>
  <si>
    <t>Todos los precios tienen los impuestos incluidos. Los precios son válidos para 2026.</t>
  </si>
  <si>
    <t>F&amp;B</t>
  </si>
  <si>
    <t>Audiovisual</t>
  </si>
  <si>
    <t>Photo &amp; Video</t>
  </si>
  <si>
    <t>Flowers</t>
  </si>
  <si>
    <t>Bridal (Bundle)</t>
  </si>
  <si>
    <t>Churchill (Bundle)</t>
  </si>
  <si>
    <t>C: Mexican Shrimp Cevice</t>
  </si>
  <si>
    <t>MM/DD/YY</t>
  </si>
  <si>
    <t># Staff</t>
  </si>
  <si>
    <r>
      <t>How to use your planner:</t>
    </r>
    <r>
      <rPr>
        <sz val="10"/>
        <color rgb="FFB59461"/>
        <rFont val="Avenir"/>
        <family val="2"/>
      </rPr>
      <t>   </t>
    </r>
  </si>
  <si>
    <t>MY MAJESTIC WEDDING</t>
  </si>
  <si>
    <r>
      <t>Additional Details</t>
    </r>
    <r>
      <rPr>
        <sz val="10"/>
        <color rgb="FFB59461"/>
        <rFont val="Avenir"/>
        <family val="2"/>
      </rPr>
      <t> </t>
    </r>
  </si>
  <si>
    <r>
      <t>Please note</t>
    </r>
    <r>
      <rPr>
        <sz val="10"/>
        <color rgb="FFB59461"/>
        <rFont val="Avenir"/>
        <family val="2"/>
      </rPr>
      <t> </t>
    </r>
  </si>
  <si>
    <t>Locations are subject to availability and is recommended to be revised with the Weddings Department. In the wedding package we include 1 non private dinner in a restaurant and is included for up to 60 guests. The restaurant will depend on availability and amount of guests, and will be with a set menu (same for all guests). </t>
  </si>
  <si>
    <t>Details of food and beverage will be provided so you can choose your preferred choice ahead of time.  </t>
  </si>
  <si>
    <t>Music, DJ, Decoration, Flowers and Entertainment only available for private events, not for common areas.  </t>
  </si>
  <si>
    <r>
      <t>Things to remember</t>
    </r>
    <r>
      <rPr>
        <sz val="10"/>
        <color rgb="FFB59461"/>
        <rFont val="Avenir"/>
        <family val="2"/>
      </rPr>
      <t> </t>
    </r>
  </si>
  <si>
    <t>Please send us copy of all your wedding documents before your arrival so we can revise and make sure all is in order.  </t>
  </si>
  <si>
    <t>We look forward for the most amazing and unique day of your life. </t>
  </si>
  <si>
    <t>See you soon,  </t>
  </si>
  <si>
    <r>
      <t>Breakfast:</t>
    </r>
    <r>
      <rPr>
        <sz val="10"/>
        <color rgb="FF800000"/>
        <rFont val="Avenir"/>
        <family val="2"/>
      </rPr>
      <t> </t>
    </r>
    <r>
      <rPr>
        <sz val="10"/>
        <rFont val="Avenir"/>
        <family val="2"/>
      </rPr>
      <t>Romantic breakfast in your room the day after the wedding or any day of your stay (please send preference of date-time to check availability) </t>
    </r>
  </si>
  <si>
    <r>
      <t>Romantic Dinner</t>
    </r>
    <r>
      <rPr>
        <sz val="10"/>
        <color rgb="FFB59461"/>
        <rFont val="Avenir"/>
        <family val="2"/>
      </rPr>
      <t>:</t>
    </r>
    <r>
      <rPr>
        <sz val="10"/>
        <rFont val="Avenir"/>
        <family val="2"/>
      </rPr>
      <t> For the couple to be held the day after the wedding or any day of the stay (please send preference of date-time to check availability) </t>
    </r>
  </si>
  <si>
    <r>
      <t>We will need to receive this completed document at least </t>
    </r>
    <r>
      <rPr>
        <b/>
        <sz val="10"/>
        <rFont val="Avenir"/>
        <family val="2"/>
      </rPr>
      <t>60 days prior</t>
    </r>
    <r>
      <rPr>
        <sz val="10"/>
        <rFont val="Avenir"/>
        <family val="2"/>
      </rPr>
      <t> your arrival to ensure we can prepare all the details of your wedding with our team. Lack of response of emails may cause cancelations. </t>
    </r>
  </si>
  <si>
    <t>The Weddings Department</t>
  </si>
  <si>
    <t>Supplements will apply to non included items</t>
  </si>
  <si>
    <t>Price changes may occur without further notice</t>
  </si>
  <si>
    <t>Updated: January 2026</t>
  </si>
  <si>
    <t>Amount of guests including wedding couple and outside guests</t>
  </si>
  <si>
    <t>SELECT COLD OPTION</t>
  </si>
  <si>
    <t>SELECT HOT OPTION</t>
  </si>
  <si>
    <t>This is just a guide to assist you on your decision-making process, please read carefully all the below information and confirm your decision, or complete when needed. You don’t need to make all the decisions in one day; we are here to help you so please relax and take it step by step. Feel free to contact your Wedding Specialist in case of any assistance. All floral details must be seen directly with the Florist.</t>
  </si>
  <si>
    <r>
      <t>Complimentary Massage:</t>
    </r>
    <r>
      <rPr>
        <b/>
        <sz val="10"/>
        <color rgb="FF800000"/>
        <rFont val="Avenir"/>
        <family val="2"/>
      </rPr>
      <t> </t>
    </r>
    <r>
      <rPr>
        <sz val="10"/>
        <rFont val="Avenir"/>
        <family val="2"/>
      </rPr>
      <t>For the couple, to be held the day after the wedding or any day of the stay (please contact the spa - spa04.mecm@majestic-resorts.com - to verify availability of your preferred date-time)</t>
    </r>
  </si>
  <si>
    <t>All wedding payments will be done at the Front Desk after your meeting with your wedding coordinator with either cash or credit card, before the first day of events for the wedding.</t>
  </si>
  <si>
    <t>DJ Extras:</t>
  </si>
  <si>
    <t>Additionals:</t>
  </si>
  <si>
    <t>Sets of Live Music:</t>
  </si>
  <si>
    <t>Extra Hour of Photobooth:</t>
  </si>
  <si>
    <t>Check-In Date:</t>
  </si>
  <si>
    <t>Paid by Couple:</t>
  </si>
  <si>
    <t>Drapes:</t>
  </si>
  <si>
    <t>Type of Chairs:</t>
  </si>
  <si>
    <t>Type Aisle Dec.:</t>
  </si>
  <si>
    <t>Fireworks:</t>
  </si>
  <si>
    <t>Food Restrictions:</t>
  </si>
  <si>
    <t>Decor Package:</t>
  </si>
  <si>
    <t>Restaurant:</t>
  </si>
  <si>
    <t>Photo/Video:</t>
  </si>
  <si>
    <t>Food Restrictions / Allergies:</t>
  </si>
  <si>
    <t>Lower Tier:</t>
  </si>
  <si>
    <t>Middle Tier:</t>
  </si>
  <si>
    <t>Upper Tier:</t>
  </si>
  <si>
    <t>Design:</t>
  </si>
  <si>
    <t>Cake Topper:</t>
  </si>
  <si>
    <t>Type of Tables:</t>
  </si>
  <si>
    <t>Linen Color:</t>
  </si>
  <si>
    <t>Napkin Color:</t>
  </si>
  <si>
    <t>Charger Plate:</t>
  </si>
  <si>
    <t>Personal Decor.:</t>
  </si>
  <si>
    <t>Sweetheart Table:</t>
  </si>
  <si>
    <t>Guest Tables:</t>
  </si>
  <si>
    <t>Letters:</t>
  </si>
  <si>
    <t>Cold Fireworks:</t>
  </si>
  <si>
    <t>Extras:</t>
  </si>
  <si>
    <t>Welcome Bags:</t>
  </si>
  <si>
    <t>Additional Notes:</t>
  </si>
  <si>
    <t>Delivered by Hotel:</t>
  </si>
  <si>
    <t>Pckg/Company:</t>
  </si>
  <si>
    <t>Photography:</t>
  </si>
  <si>
    <t>Videography:</t>
  </si>
  <si>
    <t>Content Creator:</t>
  </si>
  <si>
    <t>Hair &amp; Makeup:</t>
  </si>
  <si>
    <t>DJ / Audiovisual:</t>
  </si>
  <si>
    <t>Florist:</t>
  </si>
  <si>
    <t>Wedding Planner:</t>
  </si>
  <si>
    <r>
      <t>Make sure to use the </t>
    </r>
    <r>
      <rPr>
        <b/>
        <u/>
        <sz val="10"/>
        <color theme="4" tint="0.39997558519241921"/>
        <rFont val="Avenir"/>
        <family val="2"/>
      </rPr>
      <t>Documents Link</t>
    </r>
    <r>
      <rPr>
        <sz val="10"/>
        <rFont val="Avenir"/>
        <family val="2"/>
      </rPr>
      <t> which will give you ideas for the various options available to make your day unique and special.  </t>
    </r>
  </si>
  <si>
    <r>
      <t xml:space="preserve">If having </t>
    </r>
    <r>
      <rPr>
        <u/>
        <sz val="10"/>
        <color theme="1"/>
        <rFont val="Avenir"/>
        <family val="2"/>
      </rPr>
      <t>non private dinner</t>
    </r>
    <r>
      <rPr>
        <sz val="10"/>
        <color theme="1"/>
        <rFont val="Avenir"/>
        <family val="2"/>
      </rPr>
      <t xml:space="preserve"> on wedding day (</t>
    </r>
    <r>
      <rPr>
        <b/>
        <sz val="10"/>
        <color theme="1"/>
        <rFont val="Avenir"/>
        <family val="2"/>
      </rPr>
      <t>for pre-post, please add in the corresponding section</t>
    </r>
    <r>
      <rPr>
        <sz val="10"/>
        <color theme="1"/>
        <rFont val="Avenir"/>
        <family val="2"/>
      </rPr>
      <t>)</t>
    </r>
  </si>
  <si>
    <r>
      <t xml:space="preserve">If having a </t>
    </r>
    <r>
      <rPr>
        <b/>
        <sz val="10"/>
        <color theme="1"/>
        <rFont val="Avenir"/>
        <family val="2"/>
      </rPr>
      <t>private event</t>
    </r>
    <r>
      <rPr>
        <sz val="10"/>
        <color theme="1"/>
        <rFont val="Avenir"/>
        <family val="2"/>
      </rPr>
      <t xml:space="preserve"> (2 hour minimum required)</t>
    </r>
  </si>
  <si>
    <r>
      <rPr>
        <b/>
        <sz val="10"/>
        <color theme="1"/>
        <rFont val="Avenir"/>
        <family val="2"/>
      </rPr>
      <t>This color</t>
    </r>
    <r>
      <rPr>
        <sz val="10"/>
        <color theme="1"/>
        <rFont val="Avenir"/>
        <family val="2"/>
      </rPr>
      <t xml:space="preserve"> - choosing an option from the drop down menu list</t>
    </r>
  </si>
  <si>
    <r>
      <rPr>
        <b/>
        <sz val="10"/>
        <rFont val="Avenir"/>
        <family val="2"/>
      </rPr>
      <t>This color</t>
    </r>
    <r>
      <rPr>
        <sz val="10"/>
        <rFont val="Avenir"/>
        <family val="2"/>
      </rPr>
      <t xml:space="preserve"> - writting cells</t>
    </r>
  </si>
  <si>
    <t>Please fill out to the best of your knowledge using the guide below of colors. For photos, please insert in the designated areas where cell where is required, and use the "insert image" and "place in cell" so it can be placed correctly. For additional notes or images, please send via email with the description and any additional relevant information.</t>
  </si>
  <si>
    <t>Juniors (13-17yrs):</t>
  </si>
  <si>
    <t>Children (4-12yrs):</t>
  </si>
  <si>
    <t>Infants (0-3yrs):</t>
  </si>
  <si>
    <t># Rooms:</t>
  </si>
  <si>
    <t>SERVICIOS EXTERNOS</t>
  </si>
  <si>
    <t>SERVICIOS INTERNOS</t>
  </si>
  <si>
    <t>Proveedor</t>
  </si>
  <si>
    <t>Coste</t>
  </si>
  <si>
    <t>Dpto</t>
  </si>
  <si>
    <t>Uds</t>
  </si>
  <si>
    <t>Cte/Ud</t>
  </si>
  <si>
    <t>Orden Compra</t>
  </si>
  <si>
    <t>Detalle</t>
  </si>
  <si>
    <t>Versión</t>
  </si>
  <si>
    <t>Fecha del TC</t>
  </si>
  <si>
    <t>Datos originales de la plantilla de Bodas</t>
  </si>
  <si>
    <t>Concepto</t>
  </si>
  <si>
    <t>VENTA</t>
  </si>
  <si>
    <t xml:space="preserve">Coste Externo </t>
  </si>
  <si>
    <t>Coste Interno</t>
  </si>
  <si>
    <t>COSTE</t>
  </si>
  <si>
    <t>MARGEN</t>
  </si>
  <si>
    <t>Venta Bruta</t>
  </si>
  <si>
    <t>Venta</t>
  </si>
  <si>
    <t>Impuesto</t>
  </si>
  <si>
    <t>Total</t>
  </si>
  <si>
    <t>Comprobación = 0 si Totales Ficha = Total cuadro de Margen</t>
  </si>
  <si>
    <t>Comprobación = 0 si Totales Ficha = Totales zona verde de calculo</t>
  </si>
  <si>
    <t>L&amp;V</t>
  </si>
  <si>
    <t xml:space="preserve">Rva: </t>
  </si>
  <si>
    <t>para Auditoría</t>
  </si>
  <si>
    <t>Entregar junto con los CONDUCE/FACTURAS de los proveedores externos</t>
  </si>
  <si>
    <t>Extras Bodas</t>
  </si>
  <si>
    <t>Margen</t>
  </si>
  <si>
    <t>VºBº Servicios Prestados
por Proveedor y Traspasos Internos</t>
  </si>
  <si>
    <t>PAQUETES DE BODA</t>
  </si>
  <si>
    <t>BANQUETES</t>
  </si>
  <si>
    <t>Thania Alvarez</t>
  </si>
  <si>
    <t>OPENBAR</t>
  </si>
  <si>
    <t>Gerente de Bodas</t>
  </si>
  <si>
    <t>FOTOS/DVD MAJESTIC</t>
  </si>
  <si>
    <t>FOTOS/DVD</t>
  </si>
  <si>
    <t>FLORES</t>
  </si>
  <si>
    <t>DJ/EQUIPO</t>
  </si>
  <si>
    <t>SERV AUDIOVISUALES</t>
  </si>
  <si>
    <t>ORQUESTRA</t>
  </si>
  <si>
    <t>SHOW</t>
  </si>
  <si>
    <t>ALQ. SALON</t>
  </si>
  <si>
    <t xml:space="preserve">Autorizado por </t>
  </si>
  <si>
    <t>DECORACION</t>
  </si>
  <si>
    <t>TABACOS</t>
  </si>
  <si>
    <t>David Martinez</t>
  </si>
  <si>
    <t>PASTOR</t>
  </si>
  <si>
    <t>Director Sales &amp; Marketing</t>
  </si>
  <si>
    <t>SPA</t>
  </si>
  <si>
    <t>PRESIDENTIAL SUITE</t>
  </si>
  <si>
    <t>EXTRAS VARIOS</t>
  </si>
  <si>
    <t>Total Dpto Bodas</t>
  </si>
  <si>
    <t>DAY PASS  ADULTO</t>
  </si>
  <si>
    <t>DESCUENTO POR ACUERDO COMERCIAL</t>
  </si>
  <si>
    <t>Total Evento</t>
  </si>
  <si>
    <t>Importes en USD y Netos</t>
  </si>
  <si>
    <t>CONCEPTOS TMS</t>
  </si>
  <si>
    <t>MONEDAS</t>
  </si>
  <si>
    <t>Descripcion</t>
  </si>
  <si>
    <t>Clasificacion Fiscal</t>
  </si>
  <si>
    <t>Moneda Grupo</t>
  </si>
  <si>
    <t>BODA SERV AUDIOVISUALES</t>
  </si>
  <si>
    <t>16% IVA</t>
  </si>
  <si>
    <t>MXN</t>
  </si>
  <si>
    <t>Moneda Local</t>
  </si>
  <si>
    <t>BODA PAQUETES</t>
  </si>
  <si>
    <t>BODA BANQUETES</t>
  </si>
  <si>
    <t>BODA DECORACION</t>
  </si>
  <si>
    <t>BODA DJ/EQUIPO</t>
  </si>
  <si>
    <t>BODA EXTRA</t>
  </si>
  <si>
    <t>BODA FLORES</t>
  </si>
  <si>
    <t>BODA FOTOS/DVD</t>
  </si>
  <si>
    <t>BODA FOTOS/DVD MAJESTIC</t>
  </si>
  <si>
    <t>BODA ORQUESTRA</t>
  </si>
  <si>
    <t>BODA OPENBAR</t>
  </si>
  <si>
    <t>BODA PASTOR</t>
  </si>
  <si>
    <t>BODA PRESIDENTIAL SUITE</t>
  </si>
  <si>
    <t>BODA ALQ. SALON</t>
  </si>
  <si>
    <t>BODA SHOW</t>
  </si>
  <si>
    <t>BODA TABACOS</t>
  </si>
  <si>
    <t>BODA SPA</t>
  </si>
  <si>
    <t>DAY PASS ADULTO</t>
  </si>
  <si>
    <t>Departamento</t>
  </si>
  <si>
    <t>Pvp Venta</t>
  </si>
  <si>
    <t>COSTES DE SERVICIOS INTERNOS</t>
  </si>
  <si>
    <t>Open Bar 3 horas (incluido en Buffet)</t>
  </si>
  <si>
    <t>A&amp;B</t>
  </si>
  <si>
    <t>Open Bar coctail</t>
  </si>
  <si>
    <t>Open Bar 1 hora adicional</t>
  </si>
  <si>
    <t>Private Party Package</t>
  </si>
  <si>
    <t>Classy Buffet Adult</t>
  </si>
  <si>
    <t>Cocina</t>
  </si>
  <si>
    <t>Classy Buffet Child</t>
  </si>
  <si>
    <t>Fancy Buffet Adult</t>
  </si>
  <si>
    <t>Fancy Buffet Child</t>
  </si>
  <si>
    <t>Luxury Buffet Adult</t>
  </si>
  <si>
    <t>Luxury Buffet Child</t>
  </si>
  <si>
    <t>Mexican Buffet Adult</t>
  </si>
  <si>
    <t>Mexican Buffet Child</t>
  </si>
  <si>
    <t>Indian Buffet Adult</t>
  </si>
  <si>
    <t>Indian Buffet Child</t>
  </si>
  <si>
    <t>Vegan Buffet Adult</t>
  </si>
  <si>
    <t>Vegan Buffet Child</t>
  </si>
  <si>
    <t>Appetizers for Cocktail</t>
  </si>
  <si>
    <t>Amenidad de Bienvenida</t>
  </si>
  <si>
    <t>Canapes Premium</t>
  </si>
  <si>
    <t>Picadera</t>
  </si>
  <si>
    <t>Midnight Snacks</t>
  </si>
  <si>
    <t>BBQ</t>
  </si>
  <si>
    <t>Pastel de Boda</t>
  </si>
  <si>
    <t>Coffee Break</t>
  </si>
  <si>
    <t>Morning Coffe Break</t>
  </si>
  <si>
    <t>Morning Coffe Break 2</t>
  </si>
  <si>
    <t>Morning Coffe Break 3</t>
  </si>
  <si>
    <t>Afternoon Coffe Break 1</t>
  </si>
  <si>
    <t>Afternoon Coffe Break 2</t>
  </si>
  <si>
    <t>Afternoon Coffe Break 3</t>
  </si>
  <si>
    <t>Plated Style Menu</t>
  </si>
  <si>
    <t>Bridal Breakfast</t>
  </si>
  <si>
    <t>Family Style</t>
  </si>
  <si>
    <t>Prueba de Pastel</t>
  </si>
  <si>
    <t>Prueba de Menu</t>
  </si>
  <si>
    <t>Según buffet y núm. de pax</t>
  </si>
  <si>
    <t>Sweet Treats Table</t>
  </si>
  <si>
    <t>Churro Station</t>
  </si>
  <si>
    <t>Buffet Classy Adulto</t>
  </si>
  <si>
    <t>Buffet Classy Niño</t>
  </si>
  <si>
    <t>Buffet Fancy Adulto</t>
  </si>
  <si>
    <t>Buffet Fancy Niño</t>
  </si>
  <si>
    <t>Buffet Luxury Adulto</t>
  </si>
  <si>
    <t>Buffet Luxury Niño</t>
  </si>
  <si>
    <t>Buffet Mexicano Adulto</t>
  </si>
  <si>
    <t>Buffet Mexicano Niño</t>
  </si>
  <si>
    <t>Buffet Hindu Adulto</t>
  </si>
  <si>
    <t>Buffet Hindu Niño</t>
  </si>
  <si>
    <t>Buffet Vegano Adulto</t>
  </si>
  <si>
    <t>Buffet Vegano Niño</t>
  </si>
  <si>
    <t>Apertivos</t>
  </si>
  <si>
    <t>Tornaboda</t>
  </si>
  <si>
    <t>Coffe Break Sencillo</t>
  </si>
  <si>
    <t>Coffe Break Mañanas 1</t>
  </si>
  <si>
    <t>Coffe Break Mañanas 2</t>
  </si>
  <si>
    <t>Coffe Break Mañanas 3</t>
  </si>
  <si>
    <t>Coffe Break Tardes 1</t>
  </si>
  <si>
    <t>Coffe Break Tardes 2</t>
  </si>
  <si>
    <t>Coffe Break Tardes 3</t>
  </si>
  <si>
    <t>Menu Fijo</t>
  </si>
  <si>
    <t>Menu Bridal Breaskfast</t>
  </si>
  <si>
    <t>Fiesta de Tacos</t>
  </si>
  <si>
    <t>Menu Family Style</t>
  </si>
  <si>
    <t>Mesa Dulces</t>
  </si>
  <si>
    <t>Estancion de Churros</t>
  </si>
  <si>
    <t>PVP</t>
  </si>
  <si>
    <t>MONEDA</t>
  </si>
  <si>
    <t>Classy Buffet Kids</t>
  </si>
  <si>
    <t>Fancy Buffet Kids</t>
  </si>
  <si>
    <t>Luxury Buffet Kids</t>
  </si>
  <si>
    <t>Mexican Buffet Kids</t>
  </si>
  <si>
    <t>Vegan Buffet Kids</t>
  </si>
  <si>
    <t>-</t>
  </si>
  <si>
    <t>Serv. Externos</t>
  </si>
  <si>
    <t>Serv. Internos</t>
  </si>
  <si>
    <t>Documents Link for reference of options to select:</t>
  </si>
  <si>
    <t>Floral</t>
  </si>
  <si>
    <t>Set Up of Decor.:</t>
  </si>
  <si>
    <t>PRE/POST WEDDING (If applies)</t>
  </si>
  <si>
    <t># Bridal Party:</t>
  </si>
  <si>
    <t>Ivette Maldonado</t>
  </si>
  <si>
    <t>Civil Wedding Package</t>
  </si>
  <si>
    <t>Catholic Wedding Package</t>
  </si>
  <si>
    <t>Symbolic Wedding Package</t>
  </si>
  <si>
    <t>Tipo de Cambio YR</t>
  </si>
  <si>
    <t>Tipo de Cambio Act.</t>
  </si>
  <si>
    <t>IMPORTES NETOS Y EN USD TC ACTUAL</t>
  </si>
  <si>
    <t>MARGEN COMERCIAL</t>
  </si>
  <si>
    <t>COMERCIAL</t>
  </si>
  <si>
    <t>$ POR PROVEEDOR</t>
  </si>
  <si>
    <t>Welcome Bag - Option 1 (Fabric bag)</t>
  </si>
  <si>
    <t>Welcome Bag - Option 2 (Burlap Bag)</t>
  </si>
  <si>
    <t>Welcome Bag - Option 3 (Square Burlap Bag)</t>
  </si>
  <si>
    <t>Flavors</t>
  </si>
  <si>
    <t>MarHouse (up to 80)</t>
  </si>
  <si>
    <t>Asadito (up to 40)</t>
  </si>
  <si>
    <t>Il Botaccio (up to 30)</t>
  </si>
  <si>
    <t>Mariachi Loco (up to 40)</t>
  </si>
  <si>
    <t>Piano Bar Terrace</t>
  </si>
  <si>
    <t>Sky Lounge</t>
  </si>
  <si>
    <t>Weddings Ballroom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</si>
</sst>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44" formatCode="_-&quot;$&quot;* #,##0.00_-;\-&quot;$&quot;* #,##0.00_-;_-&quot;$&quot;* &quot;-&quot;??_-;_-@_-"/>
    <numFmt numFmtId="164" formatCode="&quot;$&quot;#,##0.00_);[Red]\(&quot;$&quot;#,##0.00\)"/>
    <numFmt numFmtId="165" formatCode="_(&quot;$&quot;* #,##0.00_);_(&quot;$&quot;* \(#,##0.00\);_(&quot;$&quot;* &quot;-&quot;??_);_(@_)"/>
    <numFmt numFmtId="166" formatCode="[$-409]d\-mmm\-yy;@"/>
    <numFmt numFmtId="167" formatCode="[$-409]h:mm\ AM/PM;@"/>
    <numFmt numFmtId="168" formatCode="0;\-0;;@"/>
    <numFmt numFmtId="169" formatCode="[$-F800]dddd\,\ mmmm\ dd\,\ yyyy"/>
    <numFmt numFmtId="170" formatCode="[$-F400]h:mm:ss\ AM/PM"/>
    <numFmt numFmtId="171" formatCode="#,##0.00\ &quot;€&quot;"/>
  </numFmts>
  <fonts count="65">
    <font>
      <sz val="11"/>
      <color theme="1"/>
      <name val="Aptos Narrow"/>
      <family val="2"/>
      <scheme val="minor"/>
    </font>
    <font>
      <sz val="11"/>
      <color rgb="FF000000"/>
      <name val="Calibri"/>
      <family val="2"/>
    </font>
    <font>
      <sz val="14"/>
      <color rgb="FF000000"/>
      <name val="Calibri"/>
      <family val="2"/>
    </font>
    <font>
      <b/>
      <sz val="14"/>
      <color rgb="FF000000"/>
      <name val="Calibri"/>
      <family val="2"/>
    </font>
    <font>
      <b/>
      <sz val="16"/>
      <color rgb="FF000000"/>
      <name val="Calibri"/>
      <family val="2"/>
    </font>
    <font>
      <sz val="10"/>
      <name val="Avenir Next LT Pro"/>
      <family val="2"/>
    </font>
    <font>
      <b/>
      <sz val="12"/>
      <color rgb="FFFF0000"/>
      <name val="Calibri"/>
      <family val="2"/>
    </font>
    <font>
      <sz val="10"/>
      <color rgb="FFFF0000"/>
      <name val="Avenir Next LT Pro"/>
      <family val="2"/>
    </font>
    <font>
      <sz val="10"/>
      <color rgb="FF000000"/>
      <name val="Avenir Next LT Pro"/>
      <family val="2"/>
    </font>
    <font>
      <sz val="12"/>
      <color rgb="FFFF0000"/>
      <name val="Calibri"/>
      <family val="2"/>
    </font>
    <font>
      <sz val="12"/>
      <name val="Avenir Next LT Pro"/>
      <family val="2"/>
    </font>
    <font>
      <sz val="11"/>
      <color theme="1"/>
      <name val="Avenir"/>
      <family val="2"/>
    </font>
    <font>
      <b/>
      <sz val="11"/>
      <color rgb="FF000000"/>
      <name val="Calibri"/>
      <family val="2"/>
    </font>
    <font>
      <b/>
      <sz val="11"/>
      <color theme="1"/>
      <name val="Aptos Narrow"/>
      <family val="2"/>
      <scheme val="minor"/>
    </font>
    <font>
      <sz val="11"/>
      <color rgb="FF000000"/>
      <name val="Aptos Narrow"/>
      <family val="2"/>
      <scheme val="minor"/>
    </font>
    <font>
      <sz val="8"/>
      <name val="Aptos Narrow"/>
      <family val="2"/>
      <scheme val="minor"/>
    </font>
    <font>
      <b/>
      <sz val="10"/>
      <color theme="1"/>
      <name val="Century Gothic"/>
      <family val="2"/>
    </font>
    <font>
      <sz val="11"/>
      <name val="Avenir"/>
      <family val="2"/>
    </font>
    <font>
      <sz val="11"/>
      <color rgb="FFFF0000"/>
      <name val="Calibri"/>
      <family val="2"/>
    </font>
    <font>
      <b/>
      <sz val="10"/>
      <color rgb="FF000000"/>
      <name val="Arial"/>
      <family val="2"/>
    </font>
    <font>
      <sz val="10"/>
      <color theme="1"/>
      <name val="Arial"/>
      <family val="2"/>
    </font>
    <font>
      <sz val="10"/>
      <color rgb="FF000000"/>
      <name val="Arial"/>
      <family val="2"/>
    </font>
    <font>
      <b/>
      <u/>
      <sz val="11"/>
      <color rgb="FF000000"/>
      <name val="Calibri"/>
      <family val="2"/>
    </font>
    <font>
      <b/>
      <sz val="10"/>
      <color rgb="FF000000"/>
      <name val="Calibri"/>
      <family val="2"/>
    </font>
    <font>
      <b/>
      <sz val="14"/>
      <color theme="0"/>
      <name val="Calibri"/>
      <family val="2"/>
    </font>
    <font>
      <sz val="14"/>
      <color theme="0"/>
      <name val="Calibri"/>
      <family val="2"/>
    </font>
    <font>
      <b/>
      <sz val="10"/>
      <color rgb="FFB59461"/>
      <name val="Avenir"/>
      <family val="2"/>
    </font>
    <font>
      <sz val="10"/>
      <color rgb="FFB59461"/>
      <name val="Avenir"/>
      <family val="2"/>
    </font>
    <font>
      <sz val="10"/>
      <color rgb="FF808080"/>
      <name val="Avenir"/>
      <family val="2"/>
    </font>
    <font>
      <sz val="10"/>
      <name val="Avenir"/>
      <family val="2"/>
    </font>
    <font>
      <b/>
      <sz val="10"/>
      <color rgb="FF800000"/>
      <name val="Avenir"/>
      <family val="2"/>
    </font>
    <font>
      <sz val="10"/>
      <color rgb="FF800000"/>
      <name val="Avenir"/>
      <family val="2"/>
    </font>
    <font>
      <u/>
      <sz val="11"/>
      <color theme="10"/>
      <name val="Aptos Narrow"/>
      <family val="2"/>
      <scheme val="minor"/>
    </font>
    <font>
      <b/>
      <sz val="10"/>
      <name val="Avenir"/>
      <family val="2"/>
    </font>
    <font>
      <sz val="10"/>
      <color theme="1"/>
      <name val="Avenir"/>
      <family val="2"/>
    </font>
    <font>
      <sz val="8"/>
      <color theme="1"/>
      <name val="Avenir"/>
      <family val="2"/>
    </font>
    <font>
      <b/>
      <u/>
      <sz val="10"/>
      <color theme="4" tint="0.39997558519241921"/>
      <name val="Avenir"/>
      <family val="2"/>
    </font>
    <font>
      <b/>
      <sz val="10"/>
      <color theme="1"/>
      <name val="Avenir"/>
      <family val="2"/>
    </font>
    <font>
      <sz val="10"/>
      <color theme="0" tint="-0.34998626667073579"/>
      <name val="Avenir"/>
      <family val="2"/>
    </font>
    <font>
      <u/>
      <sz val="10"/>
      <color theme="1"/>
      <name val="Avenir"/>
      <family val="2"/>
    </font>
    <font>
      <sz val="10"/>
      <color theme="2" tint="-0.499984740745262"/>
      <name val="Avenir"/>
      <family val="2"/>
    </font>
    <font>
      <sz val="11"/>
      <color theme="1"/>
      <name val="Aptos Narrow"/>
      <family val="2"/>
      <scheme val="minor"/>
    </font>
    <font>
      <sz val="11"/>
      <color rgb="FF006100"/>
      <name val="Aptos Narrow"/>
      <family val="2"/>
      <scheme val="minor"/>
    </font>
    <font>
      <sz val="11"/>
      <color rgb="FFFF0000"/>
      <name val="Aptos Narrow"/>
      <family val="2"/>
      <scheme val="minor"/>
    </font>
    <font>
      <b/>
      <sz val="22"/>
      <color theme="1"/>
      <name val="Aptos Narrow"/>
      <family val="2"/>
      <scheme val="minor"/>
    </font>
    <font>
      <sz val="12"/>
      <color theme="1"/>
      <name val="Aptos Narrow"/>
      <family val="2"/>
      <scheme val="minor"/>
    </font>
    <font>
      <sz val="14"/>
      <color theme="1"/>
      <name val="Aptos Narrow"/>
      <family val="2"/>
      <scheme val="minor"/>
    </font>
    <font>
      <b/>
      <sz val="14"/>
      <color theme="1"/>
      <name val="Aptos Narrow"/>
      <family val="2"/>
      <scheme val="minor"/>
    </font>
    <font>
      <b/>
      <sz val="16"/>
      <color theme="1"/>
      <name val="Aptos Narrow"/>
      <family val="2"/>
      <scheme val="minor"/>
    </font>
    <font>
      <b/>
      <sz val="12"/>
      <color theme="1"/>
      <name val="Aptos Narrow"/>
      <family val="2"/>
      <scheme val="minor"/>
    </font>
    <font>
      <b/>
      <sz val="12"/>
      <name val="Aptos Narrow"/>
      <family val="2"/>
      <scheme val="minor"/>
    </font>
    <font>
      <sz val="12"/>
      <name val="Aptos Narrow"/>
      <family val="2"/>
      <scheme val="minor"/>
    </font>
    <font>
      <b/>
      <sz val="12"/>
      <color rgb="FFFF0000"/>
      <name val="Aptos Narrow"/>
      <family val="2"/>
      <scheme val="minor"/>
    </font>
    <font>
      <b/>
      <sz val="12"/>
      <color rgb="FF92D050"/>
      <name val="Aptos Narrow"/>
      <family val="2"/>
      <scheme val="minor"/>
    </font>
    <font>
      <b/>
      <sz val="14"/>
      <name val="Aptos Narrow"/>
      <family val="2"/>
      <scheme val="minor"/>
    </font>
    <font>
      <b/>
      <sz val="11"/>
      <color rgb="FFFF0000"/>
      <name val="Aptos Narrow"/>
      <family val="2"/>
      <scheme val="minor"/>
    </font>
    <font>
      <b/>
      <sz val="18"/>
      <color theme="1"/>
      <name val="Aptos Narrow"/>
      <family val="2"/>
      <scheme val="minor"/>
    </font>
    <font>
      <b/>
      <sz val="14"/>
      <color rgb="FFFF0000"/>
      <name val="Aptos Narrow"/>
      <family val="2"/>
      <scheme val="minor"/>
    </font>
    <font>
      <b/>
      <i/>
      <sz val="14"/>
      <color theme="1"/>
      <name val="Aptos Narrow"/>
      <family val="2"/>
      <scheme val="minor"/>
    </font>
    <font>
      <b/>
      <i/>
      <sz val="11"/>
      <color theme="1"/>
      <name val="Aptos Narrow"/>
      <family val="2"/>
      <scheme val="minor"/>
    </font>
    <font>
      <b/>
      <i/>
      <sz val="12"/>
      <color theme="1"/>
      <name val="Aptos Narrow"/>
      <family val="2"/>
      <scheme val="minor"/>
    </font>
    <font>
      <sz val="14"/>
      <color theme="1"/>
      <name val="Calibri"/>
      <family val="2"/>
    </font>
    <font>
      <sz val="9"/>
      <color theme="1"/>
      <name val="Avenir"/>
      <family val="2"/>
    </font>
    <font>
      <b/>
      <sz val="12"/>
      <color rgb="FFB59461"/>
      <name val="Avenir"/>
      <family val="2"/>
    </font>
    <font>
      <i/>
      <sz val="11"/>
      <color rgb="FF000000"/>
      <name val="Calibri"/>
      <family val="2"/>
    </font>
  </fonts>
  <fills count="26">
    <fill>
      <patternFill patternType="none"/>
    </fill>
    <fill>
      <patternFill patternType="gray125"/>
    </fill>
    <fill>
      <patternFill patternType="solid">
        <fgColor rgb="FFE2EFDA"/>
        <bgColor rgb="FF000000"/>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rgb="FF7FA9AE"/>
        <bgColor rgb="FF000000"/>
      </patternFill>
    </fill>
    <fill>
      <patternFill patternType="solid">
        <fgColor rgb="FFDCC3E8"/>
        <bgColor rgb="FF000000"/>
      </patternFill>
    </fill>
    <fill>
      <patternFill patternType="solid">
        <fgColor rgb="FF9BC2E6"/>
        <bgColor rgb="FF000000"/>
      </patternFill>
    </fill>
    <fill>
      <patternFill patternType="solid">
        <fgColor rgb="FFF3B3CB"/>
        <bgColor rgb="FF000000"/>
      </patternFill>
    </fill>
    <fill>
      <patternFill patternType="solid">
        <fgColor rgb="FFFFF2CC"/>
        <bgColor rgb="FF000000"/>
      </patternFill>
    </fill>
    <fill>
      <patternFill patternType="solid">
        <fgColor rgb="FFFFC7CE"/>
        <bgColor rgb="FF000000"/>
      </patternFill>
    </fill>
    <fill>
      <patternFill patternType="solid">
        <fgColor rgb="FFFFFF00"/>
        <bgColor indexed="64"/>
      </patternFill>
    </fill>
    <fill>
      <patternFill patternType="solid">
        <fgColor rgb="FFFFC000"/>
        <bgColor rgb="FF000000"/>
      </patternFill>
    </fill>
    <fill>
      <patternFill patternType="solid">
        <fgColor rgb="FFFFC000"/>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C6EFCE"/>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CCCC"/>
        <bgColor indexed="64"/>
      </patternFill>
    </fill>
    <fill>
      <patternFill patternType="solid">
        <fgColor theme="5" tint="0.79998168889431442"/>
        <bgColor indexed="64"/>
      </patternFill>
    </fill>
    <fill>
      <patternFill patternType="solid">
        <fgColor rgb="FFDAE9F8"/>
        <bgColor rgb="FF000000"/>
      </patternFill>
    </fill>
    <fill>
      <patternFill patternType="solid">
        <fgColor theme="3" tint="0.89999084444715716"/>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theme="0"/>
      </bottom>
      <diagonal/>
    </border>
    <border>
      <left style="medium">
        <color indexed="64"/>
      </left>
      <right/>
      <top style="thin">
        <color theme="0"/>
      </top>
      <bottom/>
      <diagonal/>
    </border>
    <border>
      <left style="medium">
        <color indexed="64"/>
      </left>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diagonal/>
    </border>
    <border>
      <left style="medium">
        <color indexed="64"/>
      </left>
      <right style="thin">
        <color theme="0"/>
      </right>
      <top/>
      <bottom/>
      <diagonal/>
    </border>
    <border>
      <left style="medium">
        <color indexed="64"/>
      </left>
      <right style="thin">
        <color theme="0"/>
      </right>
      <top/>
      <bottom style="thin">
        <color theme="0"/>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medium">
        <color indexed="64"/>
      </left>
      <right/>
      <top/>
      <bottom style="thin">
        <color indexed="64"/>
      </bottom>
      <diagonal/>
    </border>
    <border>
      <left/>
      <right/>
      <top/>
      <bottom style="double">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double">
        <color indexed="64"/>
      </bottom>
      <diagonal/>
    </border>
  </borders>
  <cellStyleXfs count="6">
    <xf numFmtId="0" fontId="0" fillId="0" borderId="0"/>
    <xf numFmtId="0" fontId="32" fillId="0" borderId="0" applyNumberFormat="0" applyFill="0" applyBorder="0" applyAlignment="0" applyProtection="0"/>
    <xf numFmtId="9" fontId="41" fillId="0" borderId="0" applyFont="0" applyFill="0" applyBorder="0" applyAlignment="0" applyProtection="0"/>
    <xf numFmtId="0" fontId="42" fillId="17" borderId="0" applyNumberFormat="0" applyBorder="0" applyAlignment="0" applyProtection="0"/>
    <xf numFmtId="44" fontId="41" fillId="0" borderId="0" applyFont="0" applyFill="0" applyBorder="0" applyAlignment="0" applyProtection="0"/>
    <xf numFmtId="165" fontId="41" fillId="0" borderId="0" applyFont="0" applyFill="0" applyBorder="0" applyAlignment="0" applyProtection="0"/>
  </cellStyleXfs>
  <cellXfs count="544">
    <xf numFmtId="0" fontId="0" fillId="0" borderId="0" xfId="0"/>
    <xf numFmtId="0" fontId="1" fillId="0" borderId="0" xfId="0" applyFont="1"/>
    <xf numFmtId="0" fontId="11" fillId="0" borderId="0" xfId="0" applyFont="1"/>
    <xf numFmtId="3" fontId="0" fillId="0" borderId="0" xfId="0" applyNumberFormat="1"/>
    <xf numFmtId="0" fontId="1" fillId="0" borderId="0" xfId="0" applyFont="1" applyAlignment="1">
      <alignment horizontal="center"/>
    </xf>
    <xf numFmtId="0" fontId="2" fillId="0" borderId="0" xfId="0" applyFont="1"/>
    <xf numFmtId="0" fontId="2" fillId="0" borderId="0" xfId="0" applyFont="1" applyAlignment="1">
      <alignment horizontal="center"/>
    </xf>
    <xf numFmtId="4" fontId="2" fillId="0" borderId="0" xfId="0" applyNumberFormat="1" applyFont="1"/>
    <xf numFmtId="0" fontId="5" fillId="0" borderId="0" xfId="0" applyFont="1"/>
    <xf numFmtId="0" fontId="5" fillId="0" borderId="0" xfId="0" applyFont="1" applyAlignment="1">
      <alignment horizontal="left"/>
    </xf>
    <xf numFmtId="0" fontId="6" fillId="0" borderId="0" xfId="0" applyFont="1" applyAlignment="1">
      <alignment horizontal="left" vertical="top" wrapText="1"/>
    </xf>
    <xf numFmtId="0" fontId="7" fillId="0" borderId="0" xfId="0" applyFont="1"/>
    <xf numFmtId="0" fontId="8" fillId="0" borderId="0" xfId="0" applyFont="1"/>
    <xf numFmtId="0" fontId="6" fillId="0" borderId="0" xfId="0" applyFont="1" applyAlignment="1">
      <alignment horizontal="left" wrapText="1"/>
    </xf>
    <xf numFmtId="0" fontId="9" fillId="0" borderId="0" xfId="0" applyFont="1" applyAlignment="1">
      <alignment horizontal="left" vertical="top" wrapText="1"/>
    </xf>
    <xf numFmtId="0" fontId="10" fillId="0" borderId="0" xfId="0" applyFont="1"/>
    <xf numFmtId="0" fontId="13" fillId="0" borderId="0" xfId="0" applyFont="1"/>
    <xf numFmtId="0" fontId="14" fillId="0" borderId="0" xfId="0" applyFont="1"/>
    <xf numFmtId="0" fontId="1" fillId="0" borderId="0" xfId="0" applyFont="1" applyAlignment="1">
      <alignment wrapText="1"/>
    </xf>
    <xf numFmtId="0" fontId="1" fillId="0" borderId="0" xfId="0" applyFont="1" applyAlignment="1">
      <alignment vertical="top" wrapText="1"/>
    </xf>
    <xf numFmtId="0" fontId="16" fillId="4" borderId="1" xfId="0" applyFont="1" applyFill="1" applyBorder="1" applyAlignment="1">
      <alignment horizontal="left" vertical="top"/>
    </xf>
    <xf numFmtId="166" fontId="0" fillId="0" borderId="0" xfId="0" applyNumberFormat="1"/>
    <xf numFmtId="0" fontId="18" fillId="0" borderId="0" xfId="0" applyFont="1"/>
    <xf numFmtId="0" fontId="19" fillId="6" borderId="1" xfId="0" applyFont="1" applyFill="1" applyBorder="1" applyAlignment="1">
      <alignment horizontal="center" vertical="center" readingOrder="1"/>
    </xf>
    <xf numFmtId="0" fontId="0" fillId="0" borderId="0" xfId="0" applyAlignment="1">
      <alignment horizontal="center" vertical="center"/>
    </xf>
    <xf numFmtId="0" fontId="20" fillId="0" borderId="1" xfId="0" applyFont="1" applyBorder="1" applyAlignment="1">
      <alignment horizontal="center" vertical="center"/>
    </xf>
    <xf numFmtId="0" fontId="21" fillId="0" borderId="1" xfId="0" applyFont="1" applyBorder="1" applyAlignment="1">
      <alignment horizontal="center" vertical="center" readingOrder="1"/>
    </xf>
    <xf numFmtId="0" fontId="21" fillId="2" borderId="1" xfId="0" applyFont="1" applyFill="1" applyBorder="1" applyAlignment="1">
      <alignment horizontal="left" vertical="center" readingOrder="1"/>
    </xf>
    <xf numFmtId="0" fontId="21" fillId="0" borderId="1" xfId="0" applyFont="1" applyBorder="1" applyAlignment="1">
      <alignment horizontal="left" vertical="center" readingOrder="1"/>
    </xf>
    <xf numFmtId="0" fontId="21" fillId="7" borderId="1" xfId="0" applyFont="1" applyFill="1" applyBorder="1" applyAlignment="1">
      <alignment horizontal="left" vertical="center" readingOrder="1"/>
    </xf>
    <xf numFmtId="0" fontId="21" fillId="8" borderId="1" xfId="0" applyFont="1" applyFill="1" applyBorder="1" applyAlignment="1">
      <alignment horizontal="left" vertical="center" readingOrder="1"/>
    </xf>
    <xf numFmtId="0" fontId="21" fillId="9" borderId="1" xfId="0" applyFont="1" applyFill="1" applyBorder="1" applyAlignment="1">
      <alignment horizontal="left" vertical="center" readingOrder="1"/>
    </xf>
    <xf numFmtId="0" fontId="20" fillId="0" borderId="1" xfId="0" applyFont="1" applyBorder="1" applyAlignment="1">
      <alignment horizontal="center" vertical="center" wrapText="1"/>
    </xf>
    <xf numFmtId="0" fontId="21" fillId="0" borderId="1" xfId="0" applyFont="1" applyBorder="1" applyAlignment="1">
      <alignment horizontal="center" vertical="center" wrapText="1" readingOrder="1"/>
    </xf>
    <xf numFmtId="0" fontId="12" fillId="0" borderId="0" xfId="0" applyFont="1" applyAlignment="1">
      <alignment wrapText="1"/>
    </xf>
    <xf numFmtId="0" fontId="1" fillId="10" borderId="0" xfId="0" applyFont="1" applyFill="1" applyAlignment="1">
      <alignment horizontal="left" wrapText="1"/>
    </xf>
    <xf numFmtId="0" fontId="1" fillId="10" borderId="0" xfId="0" applyFont="1" applyFill="1" applyAlignment="1">
      <alignment horizontal="center" wrapText="1"/>
    </xf>
    <xf numFmtId="0" fontId="12" fillId="0" borderId="0" xfId="0" applyFont="1" applyAlignment="1">
      <alignment horizontal="right" wrapText="1"/>
    </xf>
    <xf numFmtId="0" fontId="1" fillId="0" borderId="0" xfId="0" applyFont="1" applyAlignment="1">
      <alignment horizontal="center" wrapText="1"/>
    </xf>
    <xf numFmtId="0" fontId="1" fillId="11" borderId="0" xfId="0" applyFont="1" applyFill="1" applyAlignment="1">
      <alignment horizontal="center" wrapText="1"/>
    </xf>
    <xf numFmtId="0" fontId="1" fillId="11" borderId="0" xfId="0" applyFont="1" applyFill="1" applyAlignment="1">
      <alignment horizontal="left" wrapText="1"/>
    </xf>
    <xf numFmtId="0" fontId="22" fillId="0" borderId="3" xfId="0" applyFont="1" applyBorder="1" applyAlignment="1">
      <alignment wrapText="1"/>
    </xf>
    <xf numFmtId="0" fontId="1" fillId="10" borderId="4" xfId="0" applyFont="1" applyFill="1" applyBorder="1" applyAlignment="1">
      <alignment horizontal="left" wrapText="1"/>
    </xf>
    <xf numFmtId="0" fontId="1" fillId="0" borderId="4" xfId="0" applyFont="1" applyBorder="1" applyAlignment="1">
      <alignment wrapText="1"/>
    </xf>
    <xf numFmtId="0" fontId="1" fillId="0" borderId="5" xfId="0" applyFont="1" applyBorder="1" applyAlignment="1">
      <alignment wrapText="1"/>
    </xf>
    <xf numFmtId="0" fontId="12" fillId="0" borderId="2" xfId="0" applyFont="1" applyBorder="1" applyAlignment="1">
      <alignment wrapText="1"/>
    </xf>
    <xf numFmtId="0" fontId="1" fillId="10" borderId="0" xfId="0" applyFont="1" applyFill="1" applyAlignment="1">
      <alignment wrapText="1"/>
    </xf>
    <xf numFmtId="0" fontId="1" fillId="10" borderId="0" xfId="0" applyFont="1" applyFill="1" applyAlignment="1">
      <alignment horizontal="right" wrapText="1"/>
    </xf>
    <xf numFmtId="0" fontId="1" fillId="0" borderId="6" xfId="0" applyFont="1" applyBorder="1" applyAlignment="1">
      <alignment wrapText="1"/>
    </xf>
    <xf numFmtId="0" fontId="12" fillId="0" borderId="2" xfId="0" applyFont="1" applyBorder="1" applyAlignment="1">
      <alignment vertical="top" wrapText="1"/>
    </xf>
    <xf numFmtId="0" fontId="12" fillId="0" borderId="0" xfId="0" applyFont="1" applyAlignment="1">
      <alignment horizontal="right" vertical="top" wrapText="1"/>
    </xf>
    <xf numFmtId="0" fontId="1" fillId="0" borderId="2" xfId="0" applyFont="1" applyBorder="1" applyAlignment="1">
      <alignment wrapText="1"/>
    </xf>
    <xf numFmtId="0" fontId="1" fillId="0" borderId="7" xfId="0" applyFont="1" applyBorder="1" applyAlignment="1">
      <alignment wrapText="1"/>
    </xf>
    <xf numFmtId="0" fontId="1" fillId="10" borderId="8" xfId="0" applyFont="1" applyFill="1" applyBorder="1" applyAlignment="1">
      <alignment wrapText="1"/>
    </xf>
    <xf numFmtId="0" fontId="1" fillId="0" borderId="8" xfId="0" applyFont="1" applyBorder="1" applyAlignment="1">
      <alignment wrapText="1"/>
    </xf>
    <xf numFmtId="0" fontId="1" fillId="0" borderId="9" xfId="0" applyFont="1" applyBorder="1" applyAlignment="1">
      <alignment wrapText="1"/>
    </xf>
    <xf numFmtId="0" fontId="1" fillId="0" borderId="0" xfId="0" applyFont="1" applyAlignment="1">
      <alignment horizontal="left" wrapText="1"/>
    </xf>
    <xf numFmtId="0" fontId="23" fillId="0" borderId="0" xfId="0" applyFont="1" applyAlignment="1">
      <alignment horizontal="right" wrapText="1"/>
    </xf>
    <xf numFmtId="0" fontId="12" fillId="0" borderId="7" xfId="0" applyFont="1" applyBorder="1" applyAlignment="1">
      <alignment wrapText="1"/>
    </xf>
    <xf numFmtId="0" fontId="1" fillId="10" borderId="4" xfId="0" applyFont="1" applyFill="1" applyBorder="1" applyAlignment="1">
      <alignment wrapText="1"/>
    </xf>
    <xf numFmtId="0" fontId="1" fillId="11" borderId="0" xfId="0" applyFont="1" applyFill="1" applyAlignment="1">
      <alignment wrapText="1"/>
    </xf>
    <xf numFmtId="0" fontId="12" fillId="0" borderId="3" xfId="0" applyFont="1" applyBorder="1" applyAlignment="1">
      <alignment wrapText="1"/>
    </xf>
    <xf numFmtId="0" fontId="12" fillId="0" borderId="6" xfId="0" applyFont="1" applyBorder="1" applyAlignment="1">
      <alignment wrapText="1"/>
    </xf>
    <xf numFmtId="0" fontId="1" fillId="10" borderId="8" xfId="0" applyFont="1" applyFill="1" applyBorder="1" applyAlignment="1">
      <alignment horizontal="right" wrapText="1"/>
    </xf>
    <xf numFmtId="0" fontId="12" fillId="0" borderId="8" xfId="0" applyFont="1" applyBorder="1" applyAlignment="1">
      <alignment wrapText="1"/>
    </xf>
    <xf numFmtId="0" fontId="12" fillId="0" borderId="9" xfId="0" applyFont="1" applyBorder="1" applyAlignment="1">
      <alignment wrapText="1"/>
    </xf>
    <xf numFmtId="166" fontId="20" fillId="0" borderId="1" xfId="0" applyNumberFormat="1" applyFont="1" applyBorder="1" applyAlignment="1">
      <alignment horizontal="center" vertical="center"/>
    </xf>
    <xf numFmtId="49" fontId="20" fillId="0" borderId="1" xfId="0" applyNumberFormat="1" applyFont="1" applyBorder="1" applyAlignment="1">
      <alignment horizontal="center" vertical="center"/>
    </xf>
    <xf numFmtId="49" fontId="0" fillId="0" borderId="0" xfId="0" applyNumberFormat="1"/>
    <xf numFmtId="0" fontId="20" fillId="0" borderId="0" xfId="0" applyFont="1" applyAlignment="1">
      <alignment horizontal="center" vertical="center"/>
    </xf>
    <xf numFmtId="0" fontId="0" fillId="0" borderId="0" xfId="0" applyAlignment="1">
      <alignment vertical="center" wrapText="1"/>
    </xf>
    <xf numFmtId="0" fontId="0" fillId="0" borderId="0" xfId="0" applyAlignment="1">
      <alignment wrapText="1"/>
    </xf>
    <xf numFmtId="15" fontId="1" fillId="0" borderId="0" xfId="0" applyNumberFormat="1" applyFont="1" applyAlignment="1">
      <alignment horizontal="left" wrapText="1"/>
    </xf>
    <xf numFmtId="0" fontId="12" fillId="12" borderId="0" xfId="0" applyFont="1" applyFill="1" applyAlignment="1">
      <alignment horizontal="right" wrapText="1"/>
    </xf>
    <xf numFmtId="15" fontId="1" fillId="0" borderId="0" xfId="0" applyNumberFormat="1" applyFont="1" applyAlignment="1">
      <alignment horizontal="center" wrapText="1"/>
    </xf>
    <xf numFmtId="18" fontId="1" fillId="0" borderId="0" xfId="0" applyNumberFormat="1" applyFont="1" applyAlignment="1">
      <alignment horizontal="center" wrapText="1"/>
    </xf>
    <xf numFmtId="166" fontId="1" fillId="0" borderId="0" xfId="0" applyNumberFormat="1" applyFont="1" applyAlignment="1">
      <alignment horizontal="center" wrapText="1"/>
    </xf>
    <xf numFmtId="0" fontId="1" fillId="13" borderId="0" xfId="0" applyFont="1" applyFill="1" applyAlignment="1">
      <alignment horizontal="left" wrapText="1"/>
    </xf>
    <xf numFmtId="49" fontId="1" fillId="0" borderId="0" xfId="0" applyNumberFormat="1" applyFont="1" applyAlignment="1">
      <alignment horizontal="left" wrapText="1"/>
    </xf>
    <xf numFmtId="0" fontId="1" fillId="13" borderId="0" xfId="0" applyFont="1" applyFill="1" applyAlignment="1">
      <alignment wrapText="1"/>
    </xf>
    <xf numFmtId="0" fontId="1" fillId="0" borderId="0" xfId="0" applyFont="1" applyAlignment="1">
      <alignment vertical="top"/>
    </xf>
    <xf numFmtId="164" fontId="12" fillId="0" borderId="0" xfId="0" applyNumberFormat="1" applyFont="1"/>
    <xf numFmtId="0" fontId="11" fillId="0" borderId="10" xfId="0" applyFont="1" applyBorder="1"/>
    <xf numFmtId="0" fontId="26" fillId="0" borderId="10" xfId="0" applyFont="1" applyBorder="1" applyAlignment="1">
      <alignment horizontal="left" vertical="center" wrapText="1"/>
    </xf>
    <xf numFmtId="0" fontId="29" fillId="0" borderId="10" xfId="0" applyFont="1" applyBorder="1" applyAlignment="1">
      <alignment horizontal="left" vertical="center" wrapText="1"/>
    </xf>
    <xf numFmtId="0" fontId="11" fillId="0" borderId="10" xfId="0" applyFont="1" applyBorder="1" applyAlignment="1">
      <alignment horizontal="left"/>
    </xf>
    <xf numFmtId="0" fontId="17" fillId="0" borderId="10" xfId="0" applyFont="1" applyBorder="1"/>
    <xf numFmtId="0" fontId="31" fillId="0" borderId="10" xfId="0" applyFont="1" applyBorder="1" applyAlignment="1">
      <alignment horizontal="left" vertical="center" wrapText="1"/>
    </xf>
    <xf numFmtId="0" fontId="27" fillId="0" borderId="10" xfId="0" applyFont="1" applyBorder="1" applyAlignment="1">
      <alignment horizontal="left" vertical="center" wrapText="1"/>
    </xf>
    <xf numFmtId="0" fontId="26" fillId="0" borderId="10" xfId="0" applyFont="1" applyBorder="1" applyAlignment="1">
      <alignment horizontal="left" vertical="center"/>
    </xf>
    <xf numFmtId="0" fontId="28" fillId="0" borderId="10" xfId="0" applyFont="1" applyBorder="1" applyAlignment="1">
      <alignment horizontal="left" vertical="center" wrapText="1"/>
    </xf>
    <xf numFmtId="0" fontId="17" fillId="0" borderId="10" xfId="0" applyFont="1" applyBorder="1" applyAlignment="1">
      <alignment horizontal="left"/>
    </xf>
    <xf numFmtId="0" fontId="11" fillId="0" borderId="23" xfId="0" applyFont="1" applyBorder="1"/>
    <xf numFmtId="0" fontId="11" fillId="0" borderId="24" xfId="0" applyFont="1" applyBorder="1"/>
    <xf numFmtId="0" fontId="34" fillId="0" borderId="10" xfId="0" applyFont="1" applyBorder="1"/>
    <xf numFmtId="0" fontId="29" fillId="16" borderId="10" xfId="0" applyFont="1" applyFill="1" applyBorder="1" applyAlignment="1" applyProtection="1">
      <alignment horizontal="left"/>
      <protection locked="0"/>
    </xf>
    <xf numFmtId="0" fontId="34" fillId="0" borderId="10" xfId="0" applyFont="1" applyBorder="1" applyAlignment="1">
      <alignment horizontal="left"/>
    </xf>
    <xf numFmtId="0" fontId="34" fillId="0" borderId="10" xfId="0" applyFont="1" applyBorder="1" applyAlignment="1">
      <alignment horizontal="right"/>
    </xf>
    <xf numFmtId="0" fontId="35" fillId="0" borderId="10" xfId="0" applyFont="1" applyBorder="1" applyAlignment="1">
      <alignment horizontal="right"/>
    </xf>
    <xf numFmtId="0" fontId="34" fillId="16" borderId="10" xfId="0" applyFont="1" applyFill="1" applyBorder="1" applyAlignment="1" applyProtection="1">
      <alignment horizontal="center"/>
      <protection locked="0"/>
    </xf>
    <xf numFmtId="1" fontId="34" fillId="0" borderId="10" xfId="0" applyNumberFormat="1" applyFont="1" applyBorder="1" applyAlignment="1">
      <alignment horizontal="center"/>
    </xf>
    <xf numFmtId="0" fontId="37" fillId="0" borderId="10" xfId="0" applyFont="1" applyBorder="1"/>
    <xf numFmtId="0" fontId="29" fillId="0" borderId="10" xfId="0" applyFont="1" applyBorder="1"/>
    <xf numFmtId="0" fontId="29" fillId="16" borderId="10" xfId="0" applyFont="1" applyFill="1" applyBorder="1" applyAlignment="1" applyProtection="1">
      <alignment horizontal="center"/>
      <protection locked="0"/>
    </xf>
    <xf numFmtId="0" fontId="34" fillId="15" borderId="10" xfId="0" applyFont="1" applyFill="1" applyBorder="1" applyAlignment="1" applyProtection="1">
      <alignment horizontal="center"/>
      <protection locked="0"/>
    </xf>
    <xf numFmtId="166" fontId="38" fillId="15" borderId="10" xfId="0" applyNumberFormat="1" applyFont="1" applyFill="1" applyBorder="1" applyAlignment="1" applyProtection="1">
      <alignment horizontal="center"/>
      <protection locked="0"/>
    </xf>
    <xf numFmtId="49" fontId="34" fillId="15" borderId="10" xfId="0" applyNumberFormat="1" applyFont="1" applyFill="1" applyBorder="1" applyAlignment="1" applyProtection="1">
      <alignment horizontal="center"/>
      <protection locked="0"/>
    </xf>
    <xf numFmtId="0" fontId="34" fillId="0" borderId="10" xfId="0" applyFont="1" applyBorder="1" applyAlignment="1">
      <alignment horizontal="center"/>
    </xf>
    <xf numFmtId="14" fontId="34" fillId="15" borderId="10" xfId="0" applyNumberFormat="1" applyFont="1" applyFill="1" applyBorder="1" applyAlignment="1" applyProtection="1">
      <alignment horizontal="center"/>
      <protection locked="0"/>
    </xf>
    <xf numFmtId="167" fontId="34" fillId="16" borderId="10" xfId="0" applyNumberFormat="1" applyFont="1" applyFill="1" applyBorder="1" applyAlignment="1" applyProtection="1">
      <alignment horizontal="center"/>
      <protection locked="0"/>
    </xf>
    <xf numFmtId="0" fontId="29" fillId="0" borderId="10" xfId="0" applyFont="1" applyBorder="1" applyAlignment="1">
      <alignment horizontal="center"/>
    </xf>
    <xf numFmtId="49" fontId="34" fillId="0" borderId="10" xfId="0" applyNumberFormat="1" applyFont="1" applyBorder="1"/>
    <xf numFmtId="170" fontId="34" fillId="16" borderId="10" xfId="0" applyNumberFormat="1" applyFont="1" applyFill="1" applyBorder="1" applyAlignment="1" applyProtection="1">
      <alignment horizontal="center"/>
      <protection locked="0"/>
    </xf>
    <xf numFmtId="0" fontId="29" fillId="0" borderId="10" xfId="0" applyFont="1" applyBorder="1" applyAlignment="1">
      <alignment horizontal="right"/>
    </xf>
    <xf numFmtId="0" fontId="34" fillId="16" borderId="10" xfId="0" applyFont="1" applyFill="1" applyBorder="1" applyProtection="1">
      <protection locked="0"/>
    </xf>
    <xf numFmtId="49" fontId="37" fillId="0" borderId="10" xfId="0" applyNumberFormat="1" applyFont="1" applyBorder="1"/>
    <xf numFmtId="0" fontId="34" fillId="16" borderId="10" xfId="0" applyFont="1" applyFill="1" applyBorder="1" applyAlignment="1" applyProtection="1">
      <alignment horizontal="left"/>
      <protection locked="0"/>
    </xf>
    <xf numFmtId="1" fontId="29" fillId="0" borderId="10" xfId="0" applyNumberFormat="1" applyFont="1" applyBorder="1" applyAlignment="1">
      <alignment horizontal="center"/>
    </xf>
    <xf numFmtId="0" fontId="0" fillId="0" borderId="0" xfId="0" applyAlignment="1">
      <alignment horizontal="center"/>
    </xf>
    <xf numFmtId="0" fontId="0" fillId="0" borderId="2" xfId="0" applyBorder="1"/>
    <xf numFmtId="0" fontId="1" fillId="0" borderId="6" xfId="0" applyFont="1" applyBorder="1"/>
    <xf numFmtId="0" fontId="3" fillId="0" borderId="0" xfId="0" applyFont="1" applyAlignment="1">
      <alignment horizontal="left"/>
    </xf>
    <xf numFmtId="0" fontId="2" fillId="0" borderId="0" xfId="0" applyFont="1" applyAlignment="1">
      <alignment horizontal="right"/>
    </xf>
    <xf numFmtId="0" fontId="0" fillId="0" borderId="7" xfId="0" applyBorder="1"/>
    <xf numFmtId="0" fontId="2" fillId="0" borderId="8" xfId="0" applyFont="1" applyBorder="1"/>
    <xf numFmtId="0" fontId="2" fillId="0" borderId="8" xfId="0" applyFont="1" applyBorder="1" applyAlignment="1">
      <alignment horizontal="right"/>
    </xf>
    <xf numFmtId="0" fontId="3" fillId="0" borderId="8" xfId="0" applyFont="1" applyBorder="1" applyAlignment="1">
      <alignment horizontal="center"/>
    </xf>
    <xf numFmtId="0" fontId="3" fillId="0" borderId="9" xfId="0" applyFont="1" applyBorder="1" applyAlignment="1">
      <alignment horizontal="center"/>
    </xf>
    <xf numFmtId="0" fontId="3" fillId="0" borderId="0" xfId="0" applyFont="1"/>
    <xf numFmtId="166" fontId="3" fillId="0" borderId="0" xfId="0" applyNumberFormat="1" applyFont="1"/>
    <xf numFmtId="0" fontId="2" fillId="0" borderId="2" xfId="0" applyFont="1" applyBorder="1"/>
    <xf numFmtId="0" fontId="2" fillId="0" borderId="2" xfId="0" applyFont="1" applyBorder="1" applyAlignment="1">
      <alignment horizontal="left" vertical="center"/>
    </xf>
    <xf numFmtId="0" fontId="2" fillId="0" borderId="2" xfId="0" applyFont="1" applyBorder="1" applyAlignment="1">
      <alignment horizontal="left"/>
    </xf>
    <xf numFmtId="0" fontId="0" fillId="0" borderId="31" xfId="0" applyBorder="1"/>
    <xf numFmtId="0" fontId="46" fillId="0" borderId="0" xfId="0" applyFont="1" applyAlignment="1">
      <alignment horizontal="left"/>
    </xf>
    <xf numFmtId="0" fontId="47" fillId="18" borderId="37" xfId="0" applyFont="1" applyFill="1" applyBorder="1" applyAlignment="1">
      <alignment horizontal="center" vertical="top"/>
    </xf>
    <xf numFmtId="0" fontId="47" fillId="18" borderId="38" xfId="0" applyFont="1" applyFill="1" applyBorder="1" applyAlignment="1">
      <alignment horizontal="center" vertical="top"/>
    </xf>
    <xf numFmtId="0" fontId="47" fillId="18" borderId="39" xfId="0" applyFont="1" applyFill="1" applyBorder="1" applyAlignment="1">
      <alignment horizontal="center" vertical="top"/>
    </xf>
    <xf numFmtId="168" fontId="3" fillId="18" borderId="2" xfId="0" applyNumberFormat="1" applyFont="1" applyFill="1" applyBorder="1"/>
    <xf numFmtId="168" fontId="3" fillId="18" borderId="0" xfId="0" applyNumberFormat="1" applyFont="1" applyFill="1"/>
    <xf numFmtId="168" fontId="3" fillId="18" borderId="6" xfId="0" applyNumberFormat="1" applyFont="1" applyFill="1" applyBorder="1"/>
    <xf numFmtId="0" fontId="0" fillId="15" borderId="2" xfId="0" applyFill="1" applyBorder="1" applyAlignment="1">
      <alignment horizontal="center" vertical="center"/>
    </xf>
    <xf numFmtId="168" fontId="2" fillId="0" borderId="0" xfId="0" applyNumberFormat="1" applyFont="1" applyAlignment="1">
      <alignment horizontal="left"/>
    </xf>
    <xf numFmtId="168" fontId="2" fillId="0" borderId="6" xfId="0" applyNumberFormat="1" applyFont="1" applyBorder="1" applyAlignment="1">
      <alignment horizontal="left"/>
    </xf>
    <xf numFmtId="0" fontId="0" fillId="15" borderId="42" xfId="0" applyFill="1" applyBorder="1" applyAlignment="1">
      <alignment horizontal="center" vertical="center"/>
    </xf>
    <xf numFmtId="0" fontId="0" fillId="15" borderId="44" xfId="0" applyFill="1" applyBorder="1" applyAlignment="1">
      <alignment horizontal="center" vertical="center"/>
    </xf>
    <xf numFmtId="0" fontId="0" fillId="15" borderId="45" xfId="0" applyFill="1" applyBorder="1" applyAlignment="1">
      <alignment horizontal="center"/>
    </xf>
    <xf numFmtId="168" fontId="3" fillId="18" borderId="49" xfId="0" applyNumberFormat="1" applyFont="1" applyFill="1" applyBorder="1"/>
    <xf numFmtId="0" fontId="2" fillId="0" borderId="49" xfId="0" applyFont="1" applyBorder="1"/>
    <xf numFmtId="0" fontId="3" fillId="0" borderId="49" xfId="0" applyFont="1" applyBorder="1"/>
    <xf numFmtId="0" fontId="2" fillId="0" borderId="33" xfId="0" applyFont="1" applyBorder="1"/>
    <xf numFmtId="0" fontId="2" fillId="0" borderId="49" xfId="0" applyFont="1" applyBorder="1" applyAlignment="1">
      <alignment horizontal="center"/>
    </xf>
    <xf numFmtId="1" fontId="2" fillId="0" borderId="49" xfId="0" applyNumberFormat="1" applyFont="1" applyBorder="1" applyAlignment="1">
      <alignment horizontal="center"/>
    </xf>
    <xf numFmtId="0" fontId="3" fillId="0" borderId="49" xfId="0" applyFont="1" applyBorder="1" applyAlignment="1">
      <alignment horizontal="center"/>
    </xf>
    <xf numFmtId="0" fontId="2" fillId="0" borderId="33" xfId="0" applyFont="1" applyBorder="1" applyAlignment="1">
      <alignment horizontal="center"/>
    </xf>
    <xf numFmtId="4" fontId="2" fillId="0" borderId="49" xfId="0" applyNumberFormat="1" applyFont="1" applyBorder="1"/>
    <xf numFmtId="4" fontId="2" fillId="0" borderId="33" xfId="0" applyNumberFormat="1" applyFont="1" applyBorder="1"/>
    <xf numFmtId="0" fontId="0" fillId="0" borderId="6" xfId="0" applyBorder="1"/>
    <xf numFmtId="0" fontId="0" fillId="18" borderId="2" xfId="0" applyFill="1" applyBorder="1"/>
    <xf numFmtId="0" fontId="0" fillId="18" borderId="0" xfId="0" applyFill="1"/>
    <xf numFmtId="0" fontId="0" fillId="18" borderId="6" xfId="0" applyFill="1" applyBorder="1"/>
    <xf numFmtId="0" fontId="0" fillId="0" borderId="8" xfId="0" applyBorder="1"/>
    <xf numFmtId="0" fontId="0" fillId="0" borderId="9" xfId="0" applyBorder="1"/>
    <xf numFmtId="0" fontId="13" fillId="0" borderId="2" xfId="0" applyFont="1" applyBorder="1"/>
    <xf numFmtId="0" fontId="13" fillId="18" borderId="2" xfId="0" applyFont="1" applyFill="1" applyBorder="1"/>
    <xf numFmtId="0" fontId="47" fillId="12" borderId="51" xfId="0" applyFont="1" applyFill="1" applyBorder="1"/>
    <xf numFmtId="14" fontId="47" fillId="12" borderId="39" xfId="0" applyNumberFormat="1" applyFont="1" applyFill="1" applyBorder="1" applyAlignment="1">
      <alignment horizontal="center"/>
    </xf>
    <xf numFmtId="0" fontId="45" fillId="19" borderId="0" xfId="0" applyFont="1" applyFill="1"/>
    <xf numFmtId="0" fontId="51" fillId="20" borderId="49" xfId="0" applyFont="1" applyFill="1" applyBorder="1" applyAlignment="1">
      <alignment horizontal="left"/>
    </xf>
    <xf numFmtId="4" fontId="45" fillId="20" borderId="6" xfId="0" applyNumberFormat="1" applyFont="1" applyFill="1" applyBorder="1"/>
    <xf numFmtId="2" fontId="45" fillId="20" borderId="2" xfId="0" applyNumberFormat="1" applyFont="1" applyFill="1" applyBorder="1" applyAlignment="1">
      <alignment horizontal="right"/>
    </xf>
    <xf numFmtId="2" fontId="45" fillId="20" borderId="0" xfId="0" applyNumberFormat="1" applyFont="1" applyFill="1"/>
    <xf numFmtId="4" fontId="51" fillId="20" borderId="0" xfId="0" applyNumberFormat="1" applyFont="1" applyFill="1" applyAlignment="1">
      <alignment horizontal="center"/>
    </xf>
    <xf numFmtId="9" fontId="51" fillId="20" borderId="6" xfId="2" applyFont="1" applyFill="1" applyBorder="1" applyAlignment="1">
      <alignment horizontal="center"/>
    </xf>
    <xf numFmtId="49" fontId="51" fillId="20" borderId="6" xfId="0" applyNumberFormat="1" applyFont="1" applyFill="1" applyBorder="1" applyAlignment="1">
      <alignment horizontal="center"/>
    </xf>
    <xf numFmtId="0" fontId="50" fillId="20" borderId="26" xfId="0" applyFont="1" applyFill="1" applyBorder="1" applyAlignment="1">
      <alignment horizontal="left" vertical="center"/>
    </xf>
    <xf numFmtId="4" fontId="49" fillId="20" borderId="29" xfId="0" applyNumberFormat="1" applyFont="1" applyFill="1" applyBorder="1" applyAlignment="1">
      <alignment vertical="center"/>
    </xf>
    <xf numFmtId="4" fontId="49" fillId="20" borderId="27" xfId="0" applyNumberFormat="1" applyFont="1" applyFill="1" applyBorder="1" applyAlignment="1">
      <alignment horizontal="right" vertical="center"/>
    </xf>
    <xf numFmtId="4" fontId="49" fillId="20" borderId="28" xfId="0" applyNumberFormat="1" applyFont="1" applyFill="1" applyBorder="1" applyAlignment="1">
      <alignment horizontal="right" vertical="center"/>
    </xf>
    <xf numFmtId="4" fontId="49" fillId="20" borderId="29" xfId="0" applyNumberFormat="1" applyFont="1" applyFill="1" applyBorder="1" applyAlignment="1">
      <alignment horizontal="right" vertical="center"/>
    </xf>
    <xf numFmtId="4" fontId="50" fillId="20" borderId="28" xfId="0" applyNumberFormat="1" applyFont="1" applyFill="1" applyBorder="1" applyAlignment="1">
      <alignment horizontal="center" vertical="center"/>
    </xf>
    <xf numFmtId="0" fontId="50" fillId="20" borderId="29" xfId="0" applyFont="1" applyFill="1" applyBorder="1" applyAlignment="1">
      <alignment horizontal="center" vertical="center"/>
    </xf>
    <xf numFmtId="4" fontId="50" fillId="20" borderId="27" xfId="0" applyNumberFormat="1" applyFont="1" applyFill="1" applyBorder="1" applyAlignment="1">
      <alignment horizontal="center" vertical="center"/>
    </xf>
    <xf numFmtId="4" fontId="52" fillId="19" borderId="3" xfId="0" applyNumberFormat="1" applyFont="1" applyFill="1" applyBorder="1"/>
    <xf numFmtId="4" fontId="52" fillId="19" borderId="4" xfId="0" applyNumberFormat="1" applyFont="1" applyFill="1" applyBorder="1"/>
    <xf numFmtId="4" fontId="52" fillId="19" borderId="5" xfId="0" applyNumberFormat="1" applyFont="1" applyFill="1" applyBorder="1"/>
    <xf numFmtId="0" fontId="52" fillId="19" borderId="3" xfId="0" applyFont="1" applyFill="1" applyBorder="1" applyAlignment="1">
      <alignment horizontal="left"/>
    </xf>
    <xf numFmtId="0" fontId="45" fillId="19" borderId="5" xfId="0" applyFont="1" applyFill="1" applyBorder="1"/>
    <xf numFmtId="4" fontId="53" fillId="17" borderId="28" xfId="3" applyNumberFormat="1" applyFont="1" applyBorder="1" applyAlignment="1">
      <alignment wrapText="1"/>
    </xf>
    <xf numFmtId="4" fontId="52" fillId="19" borderId="29" xfId="0" applyNumberFormat="1" applyFont="1" applyFill="1" applyBorder="1" applyAlignment="1">
      <alignment wrapText="1"/>
    </xf>
    <xf numFmtId="4" fontId="53" fillId="17" borderId="27" xfId="3" applyNumberFormat="1" applyFont="1" applyBorder="1" applyAlignment="1">
      <alignment wrapText="1"/>
    </xf>
    <xf numFmtId="0" fontId="53" fillId="20" borderId="29" xfId="0" applyFont="1" applyFill="1" applyBorder="1" applyAlignment="1">
      <alignment wrapText="1"/>
    </xf>
    <xf numFmtId="0" fontId="3" fillId="18" borderId="3" xfId="0" applyFont="1" applyFill="1" applyBorder="1" applyAlignment="1">
      <alignment vertical="center"/>
    </xf>
    <xf numFmtId="0" fontId="3" fillId="18" borderId="4" xfId="0" applyFont="1" applyFill="1" applyBorder="1" applyAlignment="1">
      <alignment vertical="center"/>
    </xf>
    <xf numFmtId="0" fontId="3" fillId="18" borderId="4" xfId="0" applyFont="1" applyFill="1" applyBorder="1" applyAlignment="1">
      <alignment horizontal="center" vertical="center"/>
    </xf>
    <xf numFmtId="4" fontId="3" fillId="18" borderId="4" xfId="0" applyNumberFormat="1" applyFont="1" applyFill="1" applyBorder="1" applyAlignment="1">
      <alignment vertical="center"/>
    </xf>
    <xf numFmtId="0" fontId="3" fillId="18" borderId="5" xfId="0" applyFont="1" applyFill="1" applyBorder="1" applyAlignment="1">
      <alignment vertical="center"/>
    </xf>
    <xf numFmtId="0" fontId="3" fillId="18" borderId="0" xfId="0" applyFont="1" applyFill="1" applyAlignment="1">
      <alignment vertical="center"/>
    </xf>
    <xf numFmtId="0" fontId="3" fillId="18" borderId="0" xfId="0" applyFont="1" applyFill="1" applyAlignment="1">
      <alignment horizontal="right"/>
    </xf>
    <xf numFmtId="0" fontId="3" fillId="18" borderId="6" xfId="0" applyFont="1" applyFill="1" applyBorder="1" applyAlignment="1">
      <alignment vertical="center"/>
    </xf>
    <xf numFmtId="0" fontId="3" fillId="18" borderId="0" xfId="0" applyFont="1" applyFill="1" applyAlignment="1">
      <alignment horizontal="right" vertical="center"/>
    </xf>
    <xf numFmtId="0" fontId="0" fillId="18" borderId="7" xfId="0" applyFill="1" applyBorder="1"/>
    <xf numFmtId="0" fontId="4" fillId="18" borderId="8" xfId="0" applyFont="1" applyFill="1" applyBorder="1" applyAlignment="1">
      <alignment vertical="center"/>
    </xf>
    <xf numFmtId="0" fontId="4" fillId="18" borderId="8" xfId="0" applyFont="1" applyFill="1" applyBorder="1" applyAlignment="1">
      <alignment horizontal="right" vertical="center"/>
    </xf>
    <xf numFmtId="4" fontId="4" fillId="18" borderId="8" xfId="0" applyNumberFormat="1" applyFont="1" applyFill="1" applyBorder="1" applyAlignment="1">
      <alignment vertical="center"/>
    </xf>
    <xf numFmtId="0" fontId="3" fillId="18" borderId="9" xfId="0" applyFont="1" applyFill="1" applyBorder="1" applyAlignment="1">
      <alignment vertical="center"/>
    </xf>
    <xf numFmtId="0" fontId="0" fillId="18" borderId="3" xfId="0" applyFill="1" applyBorder="1"/>
    <xf numFmtId="0" fontId="0" fillId="18" borderId="4" xfId="0" applyFill="1" applyBorder="1"/>
    <xf numFmtId="0" fontId="0" fillId="18" borderId="5" xfId="0" applyFill="1" applyBorder="1"/>
    <xf numFmtId="14" fontId="54" fillId="18" borderId="2" xfId="0" applyNumberFormat="1" applyFont="1" applyFill="1" applyBorder="1" applyAlignment="1">
      <alignment vertical="center"/>
    </xf>
    <xf numFmtId="4" fontId="54" fillId="18" borderId="0" xfId="0" applyNumberFormat="1" applyFont="1" applyFill="1" applyAlignment="1">
      <alignment vertical="center"/>
    </xf>
    <xf numFmtId="0" fontId="0" fillId="18" borderId="8" xfId="0" applyFill="1" applyBorder="1"/>
    <xf numFmtId="0" fontId="0" fillId="18" borderId="9" xfId="0" applyFill="1" applyBorder="1"/>
    <xf numFmtId="0" fontId="47" fillId="4" borderId="3" xfId="0" applyFont="1" applyFill="1" applyBorder="1" applyAlignment="1">
      <alignment horizontal="left" vertical="center"/>
    </xf>
    <xf numFmtId="0" fontId="47" fillId="4" borderId="4" xfId="0" applyFont="1" applyFill="1" applyBorder="1" applyAlignment="1">
      <alignment horizontal="right" vertical="center"/>
    </xf>
    <xf numFmtId="0" fontId="47" fillId="4" borderId="4" xfId="0" applyFont="1" applyFill="1" applyBorder="1" applyAlignment="1">
      <alignment horizontal="center" vertical="center"/>
    </xf>
    <xf numFmtId="4" fontId="47" fillId="4" borderId="8" xfId="0" applyNumberFormat="1" applyFont="1" applyFill="1" applyBorder="1"/>
    <xf numFmtId="9" fontId="47" fillId="4" borderId="9" xfId="2" applyFont="1" applyFill="1" applyBorder="1" applyAlignment="1">
      <alignment horizontal="center"/>
    </xf>
    <xf numFmtId="0" fontId="46" fillId="0" borderId="59" xfId="0" applyFont="1" applyBorder="1"/>
    <xf numFmtId="0" fontId="0" fillId="0" borderId="59" xfId="0" applyBorder="1"/>
    <xf numFmtId="0" fontId="0" fillId="0" borderId="59" xfId="0" applyBorder="1" applyAlignment="1">
      <alignment horizontal="center"/>
    </xf>
    <xf numFmtId="0" fontId="45" fillId="0" borderId="59" xfId="0" applyFont="1" applyBorder="1"/>
    <xf numFmtId="0" fontId="45" fillId="0" borderId="59" xfId="0" applyFont="1" applyBorder="1" applyAlignment="1">
      <alignment horizontal="left"/>
    </xf>
    <xf numFmtId="0" fontId="45" fillId="0" borderId="59" xfId="0" applyFont="1" applyBorder="1" applyAlignment="1">
      <alignment horizontal="right"/>
    </xf>
    <xf numFmtId="0" fontId="45" fillId="0" borderId="0" xfId="0" applyFont="1"/>
    <xf numFmtId="0" fontId="45" fillId="0" borderId="0" xfId="0" applyFont="1" applyAlignment="1">
      <alignment horizontal="left"/>
    </xf>
    <xf numFmtId="0" fontId="45" fillId="0" borderId="0" xfId="0" applyFont="1" applyAlignment="1">
      <alignment horizontal="right"/>
    </xf>
    <xf numFmtId="0" fontId="47" fillId="0" borderId="0" xfId="0" applyFont="1"/>
    <xf numFmtId="0" fontId="46" fillId="0" borderId="0" xfId="0" applyFont="1"/>
    <xf numFmtId="0" fontId="46" fillId="0" borderId="0" xfId="0" applyFont="1" applyAlignment="1">
      <alignment horizontal="center"/>
    </xf>
    <xf numFmtId="0" fontId="45" fillId="0" borderId="0" xfId="0" applyFont="1" applyAlignment="1">
      <alignment wrapText="1"/>
    </xf>
    <xf numFmtId="0" fontId="45" fillId="0" borderId="0" xfId="0" applyFont="1" applyAlignment="1">
      <alignment horizontal="right" wrapText="1"/>
    </xf>
    <xf numFmtId="0" fontId="47" fillId="0" borderId="8" xfId="0" applyFont="1" applyBorder="1" applyAlignment="1">
      <alignment vertical="center"/>
    </xf>
    <xf numFmtId="0" fontId="0" fillId="0" borderId="0" xfId="0" applyAlignment="1">
      <alignment vertical="center"/>
    </xf>
    <xf numFmtId="0" fontId="56" fillId="0" borderId="3" xfId="0" applyFont="1" applyBorder="1" applyAlignment="1">
      <alignment horizontal="center" vertical="top" wrapText="1"/>
    </xf>
    <xf numFmtId="0" fontId="56" fillId="0" borderId="4" xfId="0" applyFont="1" applyBorder="1" applyAlignment="1">
      <alignment horizontal="center" vertical="top" wrapText="1"/>
    </xf>
    <xf numFmtId="0" fontId="56" fillId="0" borderId="5" xfId="0" applyFont="1" applyBorder="1" applyAlignment="1">
      <alignment horizontal="center" vertical="top" wrapText="1"/>
    </xf>
    <xf numFmtId="0" fontId="45" fillId="0" borderId="0" xfId="0" applyFont="1" applyAlignment="1">
      <alignment vertical="center"/>
    </xf>
    <xf numFmtId="0" fontId="45" fillId="0" borderId="0" xfId="0" applyFont="1" applyAlignment="1">
      <alignment horizontal="left" vertical="center"/>
    </xf>
    <xf numFmtId="0" fontId="45" fillId="0" borderId="0" xfId="0" applyFont="1" applyAlignment="1">
      <alignment horizontal="right" vertical="center"/>
    </xf>
    <xf numFmtId="0" fontId="46" fillId="0" borderId="3" xfId="0" applyFont="1" applyBorder="1"/>
    <xf numFmtId="0" fontId="46" fillId="0" borderId="4" xfId="0" applyFont="1" applyBorder="1"/>
    <xf numFmtId="4" fontId="46" fillId="0" borderId="4" xfId="0" applyNumberFormat="1" applyFont="1" applyBorder="1"/>
    <xf numFmtId="4" fontId="46" fillId="0" borderId="0" xfId="0" applyNumberFormat="1" applyFont="1"/>
    <xf numFmtId="9" fontId="46" fillId="0" borderId="6" xfId="2" applyFont="1" applyFill="1" applyBorder="1" applyAlignment="1">
      <alignment horizontal="center"/>
    </xf>
    <xf numFmtId="0" fontId="47" fillId="0" borderId="2" xfId="0" applyFont="1" applyBorder="1"/>
    <xf numFmtId="0" fontId="49" fillId="0" borderId="0" xfId="0" applyFont="1" applyAlignment="1">
      <alignment horizontal="center" vertical="center" wrapText="1"/>
    </xf>
    <xf numFmtId="0" fontId="46" fillId="0" borderId="2" xfId="0" applyFont="1" applyBorder="1"/>
    <xf numFmtId="0" fontId="46" fillId="0" borderId="6" xfId="0" applyFont="1" applyBorder="1"/>
    <xf numFmtId="14" fontId="49" fillId="0" borderId="0" xfId="0" applyNumberFormat="1" applyFont="1" applyAlignment="1">
      <alignment horizontal="right"/>
    </xf>
    <xf numFmtId="0" fontId="46" fillId="0" borderId="7" xfId="0" applyFont="1" applyBorder="1"/>
    <xf numFmtId="0" fontId="46" fillId="0" borderId="8" xfId="0" applyFont="1" applyBorder="1"/>
    <xf numFmtId="0" fontId="46" fillId="0" borderId="8" xfId="0" applyFont="1" applyBorder="1" applyAlignment="1">
      <alignment horizontal="center"/>
    </xf>
    <xf numFmtId="0" fontId="52" fillId="0" borderId="0" xfId="0" applyFont="1"/>
    <xf numFmtId="0" fontId="49" fillId="0" borderId="0" xfId="0" applyFont="1" applyAlignment="1">
      <alignment vertical="center" wrapText="1"/>
    </xf>
    <xf numFmtId="0" fontId="56" fillId="0" borderId="3" xfId="0" applyFont="1" applyBorder="1"/>
    <xf numFmtId="0" fontId="56" fillId="0" borderId="4" xfId="0" applyFont="1" applyBorder="1"/>
    <xf numFmtId="0" fontId="57" fillId="0" borderId="0" xfId="0" applyFont="1"/>
    <xf numFmtId="4" fontId="46" fillId="0" borderId="8" xfId="0" applyNumberFormat="1" applyFont="1" applyBorder="1"/>
    <xf numFmtId="9" fontId="46" fillId="0" borderId="9" xfId="2" applyFont="1" applyFill="1" applyBorder="1" applyAlignment="1">
      <alignment horizontal="center"/>
    </xf>
    <xf numFmtId="4" fontId="47" fillId="0" borderId="4" xfId="0" applyNumberFormat="1" applyFont="1" applyBorder="1" applyAlignment="1">
      <alignment vertical="center"/>
    </xf>
    <xf numFmtId="0" fontId="46" fillId="0" borderId="2" xfId="0" applyFont="1" applyBorder="1" applyAlignment="1">
      <alignment vertical="center"/>
    </xf>
    <xf numFmtId="0" fontId="46" fillId="0" borderId="0" xfId="0" applyFont="1" applyAlignment="1">
      <alignment vertical="center"/>
    </xf>
    <xf numFmtId="0" fontId="46" fillId="0" borderId="0" xfId="0" applyFont="1" applyAlignment="1">
      <alignment horizontal="center" vertical="center"/>
    </xf>
    <xf numFmtId="0" fontId="58" fillId="0" borderId="3" xfId="0" applyFont="1" applyBorder="1" applyAlignment="1">
      <alignment vertical="center"/>
    </xf>
    <xf numFmtId="0" fontId="58" fillId="0" borderId="4" xfId="0" applyFont="1" applyBorder="1" applyAlignment="1">
      <alignment vertical="center"/>
    </xf>
    <xf numFmtId="0" fontId="59" fillId="0" borderId="0" xfId="0" applyFont="1"/>
    <xf numFmtId="0" fontId="58" fillId="0" borderId="2" xfId="0" applyFont="1" applyBorder="1"/>
    <xf numFmtId="0" fontId="58" fillId="0" borderId="0" xfId="0" applyFont="1"/>
    <xf numFmtId="0" fontId="58" fillId="0" borderId="0" xfId="0" applyFont="1" applyAlignment="1">
      <alignment horizontal="center"/>
    </xf>
    <xf numFmtId="0" fontId="60" fillId="0" borderId="0" xfId="0" applyFont="1"/>
    <xf numFmtId="0" fontId="60" fillId="0" borderId="0" xfId="0" applyFont="1" applyAlignment="1">
      <alignment horizontal="left"/>
    </xf>
    <xf numFmtId="0" fontId="60" fillId="0" borderId="0" xfId="0" applyFont="1" applyAlignment="1">
      <alignment horizontal="right"/>
    </xf>
    <xf numFmtId="0" fontId="58" fillId="0" borderId="7" xfId="0" applyFont="1" applyBorder="1" applyAlignment="1">
      <alignment vertical="center"/>
    </xf>
    <xf numFmtId="0" fontId="58" fillId="0" borderId="8" xfId="0" applyFont="1" applyBorder="1" applyAlignment="1">
      <alignment vertical="center"/>
    </xf>
    <xf numFmtId="4" fontId="47" fillId="0" borderId="8" xfId="0" applyNumberFormat="1" applyFont="1" applyBorder="1" applyAlignment="1">
      <alignment vertical="center"/>
    </xf>
    <xf numFmtId="9" fontId="47" fillId="0" borderId="9" xfId="2" applyFont="1" applyFill="1" applyBorder="1" applyAlignment="1">
      <alignment horizontal="center" vertical="center"/>
    </xf>
    <xf numFmtId="0" fontId="13" fillId="0" borderId="0" xfId="0" applyFont="1" applyAlignment="1">
      <alignment horizontal="center"/>
    </xf>
    <xf numFmtId="9" fontId="0" fillId="0" borderId="0" xfId="0" applyNumberFormat="1" applyAlignment="1">
      <alignment horizontal="center"/>
    </xf>
    <xf numFmtId="0" fontId="43" fillId="0" borderId="0" xfId="0" applyFont="1"/>
    <xf numFmtId="9" fontId="43" fillId="0" borderId="0" xfId="0" applyNumberFormat="1" applyFont="1" applyAlignment="1">
      <alignment horizontal="center"/>
    </xf>
    <xf numFmtId="1" fontId="0" fillId="0" borderId="0" xfId="0" applyNumberFormat="1" applyAlignment="1">
      <alignment horizontal="center"/>
    </xf>
    <xf numFmtId="0" fontId="0" fillId="0" borderId="0" xfId="0" quotePrefix="1"/>
    <xf numFmtId="0" fontId="13" fillId="0" borderId="27" xfId="0" applyFont="1" applyBorder="1"/>
    <xf numFmtId="0" fontId="13" fillId="0" borderId="28" xfId="0" applyFont="1" applyBorder="1" applyAlignment="1">
      <alignment horizontal="right" wrapText="1"/>
    </xf>
    <xf numFmtId="0" fontId="13" fillId="0" borderId="29" xfId="0" applyFont="1" applyBorder="1"/>
    <xf numFmtId="0" fontId="13" fillId="0" borderId="28" xfId="0" applyFont="1" applyBorder="1" applyAlignment="1">
      <alignment horizontal="right"/>
    </xf>
    <xf numFmtId="0" fontId="14" fillId="22" borderId="5" xfId="0" applyFont="1" applyFill="1" applyBorder="1" applyAlignment="1">
      <alignment vertical="center"/>
    </xf>
    <xf numFmtId="0" fontId="14" fillId="0" borderId="3" xfId="0" applyFont="1" applyBorder="1" applyAlignment="1">
      <alignment vertical="center"/>
    </xf>
    <xf numFmtId="0" fontId="14" fillId="0" borderId="4" xfId="0" applyFont="1" applyBorder="1" applyAlignment="1">
      <alignment horizontal="right" wrapText="1"/>
    </xf>
    <xf numFmtId="0" fontId="14" fillId="0" borderId="5" xfId="0" applyFont="1" applyBorder="1"/>
    <xf numFmtId="0" fontId="0" fillId="0" borderId="3" xfId="0" applyBorder="1"/>
    <xf numFmtId="0" fontId="14" fillId="0" borderId="4" xfId="0" applyFont="1" applyBorder="1"/>
    <xf numFmtId="0" fontId="14" fillId="22" borderId="6" xfId="0" applyFont="1" applyFill="1" applyBorder="1" applyAlignment="1">
      <alignment vertical="center"/>
    </xf>
    <xf numFmtId="0" fontId="14" fillId="0" borderId="2" xfId="0" applyFont="1" applyBorder="1" applyAlignment="1">
      <alignment vertical="center"/>
    </xf>
    <xf numFmtId="0" fontId="14" fillId="0" borderId="0" xfId="0" applyFont="1" applyAlignment="1">
      <alignment horizontal="right" wrapText="1"/>
    </xf>
    <xf numFmtId="0" fontId="14" fillId="0" borderId="6" xfId="0" applyFont="1" applyBorder="1"/>
    <xf numFmtId="0" fontId="14" fillId="0" borderId="6" xfId="0" applyFont="1" applyBorder="1" applyAlignment="1">
      <alignment vertical="center"/>
    </xf>
    <xf numFmtId="0" fontId="14" fillId="0" borderId="0" xfId="0" applyFont="1" applyAlignment="1">
      <alignment horizontal="right" vertical="center" wrapText="1"/>
    </xf>
    <xf numFmtId="0" fontId="14" fillId="0" borderId="0" xfId="0" applyFont="1" applyAlignment="1">
      <alignment horizontal="right" vertical="center"/>
    </xf>
    <xf numFmtId="4" fontId="14" fillId="0" borderId="0" xfId="0" applyNumberFormat="1" applyFont="1" applyAlignment="1">
      <alignment horizontal="right" vertical="center" wrapText="1"/>
    </xf>
    <xf numFmtId="4" fontId="14" fillId="0" borderId="0" xfId="0" applyNumberFormat="1" applyFont="1" applyAlignment="1">
      <alignment horizontal="right" vertical="center"/>
    </xf>
    <xf numFmtId="0" fontId="14" fillId="0" borderId="9" xfId="0" applyFont="1" applyBorder="1" applyAlignment="1">
      <alignment vertical="center"/>
    </xf>
    <xf numFmtId="0" fontId="14" fillId="0" borderId="7" xfId="0" applyFont="1" applyBorder="1" applyAlignment="1">
      <alignment vertical="center"/>
    </xf>
    <xf numFmtId="0" fontId="14" fillId="0" borderId="8" xfId="0" applyFont="1" applyBorder="1" applyAlignment="1">
      <alignment horizontal="right" wrapText="1"/>
    </xf>
    <xf numFmtId="0" fontId="14" fillId="0" borderId="9" xfId="0" applyFont="1" applyBorder="1"/>
    <xf numFmtId="0" fontId="14" fillId="0" borderId="8" xfId="0" applyFont="1" applyBorder="1"/>
    <xf numFmtId="0" fontId="61" fillId="0" borderId="2" xfId="0" applyFont="1" applyBorder="1"/>
    <xf numFmtId="0" fontId="61" fillId="0" borderId="0" xfId="0" applyFont="1"/>
    <xf numFmtId="0" fontId="61" fillId="0" borderId="6" xfId="0" applyFont="1" applyBorder="1"/>
    <xf numFmtId="4" fontId="61" fillId="0" borderId="0" xfId="0" applyNumberFormat="1" applyFont="1"/>
    <xf numFmtId="4" fontId="0" fillId="18" borderId="0" xfId="0" applyNumberFormat="1" applyFill="1"/>
    <xf numFmtId="4" fontId="0" fillId="0" borderId="0" xfId="0" applyNumberFormat="1"/>
    <xf numFmtId="4" fontId="0" fillId="0" borderId="8" xfId="0" applyNumberFormat="1" applyBorder="1"/>
    <xf numFmtId="0" fontId="0" fillId="18" borderId="0" xfId="0" applyFill="1" applyAlignment="1">
      <alignment horizontal="center"/>
    </xf>
    <xf numFmtId="0" fontId="61" fillId="0" borderId="0" xfId="0" applyFont="1" applyAlignment="1">
      <alignment horizontal="center"/>
    </xf>
    <xf numFmtId="0" fontId="0" fillId="0" borderId="8" xfId="0" applyBorder="1" applyAlignment="1">
      <alignment horizontal="center"/>
    </xf>
    <xf numFmtId="0" fontId="0" fillId="18" borderId="4" xfId="0" applyFill="1" applyBorder="1" applyAlignment="1">
      <alignment horizontal="center"/>
    </xf>
    <xf numFmtId="0" fontId="0" fillId="18" borderId="8" xfId="0" applyFill="1" applyBorder="1" applyAlignment="1">
      <alignment horizontal="center"/>
    </xf>
    <xf numFmtId="0" fontId="56" fillId="0" borderId="4" xfId="0" applyFont="1" applyBorder="1" applyAlignment="1">
      <alignment horizontal="center"/>
    </xf>
    <xf numFmtId="4" fontId="46" fillId="0" borderId="0" xfId="0" applyNumberFormat="1" applyFont="1" applyAlignment="1">
      <alignment horizontal="center"/>
    </xf>
    <xf numFmtId="14" fontId="47" fillId="0" borderId="6" xfId="0" applyNumberFormat="1" applyFont="1" applyBorder="1" applyAlignment="1">
      <alignment horizontal="center"/>
    </xf>
    <xf numFmtId="0" fontId="46" fillId="0" borderId="6" xfId="0" applyFont="1" applyBorder="1" applyAlignment="1">
      <alignment horizontal="center"/>
    </xf>
    <xf numFmtId="0" fontId="46" fillId="0" borderId="9" xfId="0" applyFont="1" applyBorder="1" applyAlignment="1">
      <alignment horizontal="center"/>
    </xf>
    <xf numFmtId="0" fontId="56" fillId="0" borderId="5" xfId="0" applyFont="1" applyBorder="1" applyAlignment="1">
      <alignment horizontal="center"/>
    </xf>
    <xf numFmtId="0" fontId="0" fillId="0" borderId="6" xfId="0" applyBorder="1" applyAlignment="1">
      <alignment horizontal="center"/>
    </xf>
    <xf numFmtId="0" fontId="46" fillId="0" borderId="6" xfId="0" applyFont="1" applyBorder="1" applyAlignment="1">
      <alignment horizontal="center" vertical="center"/>
    </xf>
    <xf numFmtId="0" fontId="58" fillId="0" borderId="6" xfId="0" applyFont="1" applyBorder="1" applyAlignment="1">
      <alignment horizontal="center"/>
    </xf>
    <xf numFmtId="0" fontId="55" fillId="0" borderId="0" xfId="0" applyFont="1" applyAlignment="1">
      <alignment vertical="center"/>
    </xf>
    <xf numFmtId="0" fontId="14" fillId="0" borderId="0" xfId="0" applyFont="1" applyAlignment="1">
      <alignment vertical="center"/>
    </xf>
    <xf numFmtId="0" fontId="46" fillId="0" borderId="0" xfId="0" applyFont="1" applyAlignment="1">
      <alignment horizontal="right"/>
    </xf>
    <xf numFmtId="4" fontId="0" fillId="18" borderId="4" xfId="0" applyNumberFormat="1" applyFill="1" applyBorder="1"/>
    <xf numFmtId="9" fontId="45" fillId="20" borderId="2" xfId="2" applyFont="1" applyFill="1" applyBorder="1" applyAlignment="1">
      <alignment horizontal="center"/>
    </xf>
    <xf numFmtId="9" fontId="51" fillId="20" borderId="9" xfId="2" applyFont="1" applyFill="1" applyBorder="1" applyAlignment="1">
      <alignment horizontal="center"/>
    </xf>
    <xf numFmtId="171" fontId="49" fillId="20" borderId="37" xfId="0" applyNumberFormat="1" applyFont="1" applyFill="1" applyBorder="1" applyAlignment="1">
      <alignment horizontal="center" vertical="center" wrapText="1"/>
    </xf>
    <xf numFmtId="171" fontId="49" fillId="20" borderId="39" xfId="0" applyNumberFormat="1" applyFont="1" applyFill="1" applyBorder="1" applyAlignment="1">
      <alignment horizontal="center" vertical="center" wrapText="1"/>
    </xf>
    <xf numFmtId="0" fontId="62" fillId="0" borderId="10" xfId="0" applyFont="1" applyBorder="1" applyAlignment="1">
      <alignment horizontal="right"/>
    </xf>
    <xf numFmtId="4" fontId="47" fillId="21" borderId="0" xfId="0" applyNumberFormat="1" applyFont="1" applyFill="1" applyAlignment="1">
      <alignment vertical="center"/>
    </xf>
    <xf numFmtId="9" fontId="46" fillId="0" borderId="5" xfId="2" applyFont="1" applyFill="1" applyBorder="1" applyAlignment="1">
      <alignment horizontal="center"/>
    </xf>
    <xf numFmtId="0" fontId="29" fillId="0" borderId="19" xfId="0" applyFont="1" applyBorder="1" applyAlignment="1">
      <alignment vertical="center"/>
    </xf>
    <xf numFmtId="0" fontId="29" fillId="0" borderId="20" xfId="0" applyFont="1" applyBorder="1" applyAlignment="1">
      <alignment vertical="center"/>
    </xf>
    <xf numFmtId="0" fontId="32" fillId="0" borderId="20" xfId="1" applyBorder="1" applyAlignment="1">
      <alignment vertical="center"/>
    </xf>
    <xf numFmtId="0" fontId="32" fillId="0" borderId="21" xfId="1" applyBorder="1" applyAlignment="1">
      <alignment vertical="center"/>
    </xf>
    <xf numFmtId="0" fontId="32" fillId="0" borderId="10" xfId="1" applyBorder="1"/>
    <xf numFmtId="0" fontId="32" fillId="0" borderId="10" xfId="1" applyBorder="1" applyAlignment="1">
      <alignment horizontal="right"/>
    </xf>
    <xf numFmtId="8" fontId="1" fillId="0" borderId="0" xfId="0" applyNumberFormat="1" applyFont="1"/>
    <xf numFmtId="0" fontId="34" fillId="15" borderId="10" xfId="0" applyFont="1" applyFill="1" applyBorder="1" applyProtection="1">
      <protection locked="0"/>
    </xf>
    <xf numFmtId="0" fontId="47" fillId="12" borderId="52" xfId="0" applyFont="1" applyFill="1" applyBorder="1" applyAlignment="1">
      <alignment vertical="center"/>
    </xf>
    <xf numFmtId="9" fontId="49" fillId="20" borderId="27" xfId="2" applyFont="1" applyFill="1" applyBorder="1" applyAlignment="1">
      <alignment horizontal="center"/>
    </xf>
    <xf numFmtId="171" fontId="49" fillId="20" borderId="63" xfId="0" applyNumberFormat="1" applyFont="1" applyFill="1" applyBorder="1" applyAlignment="1">
      <alignment horizontal="center" vertical="center" wrapText="1"/>
    </xf>
    <xf numFmtId="4" fontId="51" fillId="20" borderId="8" xfId="0" applyNumberFormat="1" applyFont="1" applyFill="1" applyBorder="1" applyAlignment="1">
      <alignment horizontal="center"/>
    </xf>
    <xf numFmtId="4" fontId="45" fillId="23" borderId="49" xfId="0" applyNumberFormat="1" applyFont="1" applyFill="1" applyBorder="1"/>
    <xf numFmtId="2" fontId="45" fillId="23" borderId="2" xfId="0" applyNumberFormat="1" applyFont="1" applyFill="1" applyBorder="1" applyAlignment="1">
      <alignment horizontal="right"/>
    </xf>
    <xf numFmtId="2" fontId="45" fillId="23" borderId="0" xfId="0" applyNumberFormat="1" applyFont="1" applyFill="1"/>
    <xf numFmtId="4" fontId="45" fillId="23" borderId="6" xfId="0" applyNumberFormat="1" applyFont="1" applyFill="1" applyBorder="1"/>
    <xf numFmtId="9" fontId="45" fillId="23" borderId="49" xfId="2" applyFont="1" applyFill="1" applyBorder="1" applyAlignment="1">
      <alignment horizontal="center"/>
    </xf>
    <xf numFmtId="4" fontId="49" fillId="23" borderId="26" xfId="0" applyNumberFormat="1" applyFont="1" applyFill="1" applyBorder="1" applyAlignment="1">
      <alignment vertical="center"/>
    </xf>
    <xf numFmtId="4" fontId="49" fillId="23" borderId="27" xfId="0" applyNumberFormat="1" applyFont="1" applyFill="1" applyBorder="1" applyAlignment="1">
      <alignment horizontal="right" vertical="center"/>
    </xf>
    <xf numFmtId="4" fontId="49" fillId="23" borderId="28" xfId="0" applyNumberFormat="1" applyFont="1" applyFill="1" applyBorder="1" applyAlignment="1">
      <alignment horizontal="right" vertical="center"/>
    </xf>
    <xf numFmtId="4" fontId="49" fillId="23" borderId="29" xfId="0" applyNumberFormat="1" applyFont="1" applyFill="1" applyBorder="1" applyAlignment="1">
      <alignment horizontal="right" vertical="center"/>
    </xf>
    <xf numFmtId="9" fontId="49" fillId="23" borderId="26" xfId="2" applyFont="1" applyFill="1" applyBorder="1" applyAlignment="1">
      <alignment horizontal="center"/>
    </xf>
    <xf numFmtId="9" fontId="47" fillId="0" borderId="6" xfId="2" applyFont="1" applyFill="1" applyBorder="1" applyAlignment="1">
      <alignment horizontal="center" vertical="center"/>
    </xf>
    <xf numFmtId="9" fontId="47" fillId="21" borderId="64" xfId="2" applyFont="1" applyFill="1" applyBorder="1" applyAlignment="1">
      <alignment horizontal="center" vertical="center"/>
    </xf>
    <xf numFmtId="164" fontId="1" fillId="0" borderId="0" xfId="0" applyNumberFormat="1" applyFont="1"/>
    <xf numFmtId="164" fontId="1" fillId="24" borderId="0" xfId="0" applyNumberFormat="1" applyFont="1" applyFill="1"/>
    <xf numFmtId="8" fontId="1" fillId="25" borderId="0" xfId="0" applyNumberFormat="1" applyFont="1" applyFill="1"/>
    <xf numFmtId="8" fontId="64" fillId="25" borderId="0" xfId="0" applyNumberFormat="1" applyFont="1" applyFill="1"/>
    <xf numFmtId="0" fontId="12" fillId="0" borderId="0" xfId="0" applyFont="1"/>
    <xf numFmtId="0" fontId="12" fillId="0" borderId="0" xfId="0" applyFont="1" applyAlignment="1">
      <alignment vertical="top" wrapText="1"/>
    </xf>
    <xf numFmtId="8" fontId="1" fillId="12" borderId="0" xfId="0" applyNumberFormat="1" applyFont="1" applyFill="1"/>
    <xf numFmtId="0" fontId="11" fillId="5" borderId="23" xfId="0" applyFont="1" applyFill="1" applyBorder="1" applyAlignment="1">
      <alignment horizontal="center"/>
    </xf>
    <xf numFmtId="0" fontId="11" fillId="5" borderId="30" xfId="0" applyFont="1" applyFill="1" applyBorder="1" applyAlignment="1">
      <alignment horizontal="center"/>
    </xf>
    <xf numFmtId="0" fontId="11" fillId="5" borderId="25" xfId="0" applyFont="1" applyFill="1" applyBorder="1" applyAlignment="1">
      <alignment horizontal="center"/>
    </xf>
    <xf numFmtId="0" fontId="34" fillId="16" borderId="19" xfId="0" applyFont="1" applyFill="1" applyBorder="1" applyAlignment="1" applyProtection="1">
      <alignment horizontal="center"/>
      <protection locked="0"/>
    </xf>
    <xf numFmtId="0" fontId="34" fillId="16" borderId="20" xfId="0" applyFont="1" applyFill="1" applyBorder="1" applyAlignment="1" applyProtection="1">
      <alignment horizontal="center"/>
      <protection locked="0"/>
    </xf>
    <xf numFmtId="0" fontId="34" fillId="16" borderId="21" xfId="0" applyFont="1" applyFill="1" applyBorder="1" applyAlignment="1" applyProtection="1">
      <alignment horizontal="center"/>
      <protection locked="0"/>
    </xf>
    <xf numFmtId="0" fontId="34" fillId="5" borderId="23" xfId="0" applyFont="1" applyFill="1" applyBorder="1" applyAlignment="1">
      <alignment horizontal="center" vertical="center" textRotation="90"/>
    </xf>
    <xf numFmtId="0" fontId="34" fillId="5" borderId="30" xfId="0" applyFont="1" applyFill="1" applyBorder="1" applyAlignment="1">
      <alignment horizontal="center" vertical="center" textRotation="90"/>
    </xf>
    <xf numFmtId="0" fontId="34" fillId="5" borderId="25" xfId="0" applyFont="1" applyFill="1" applyBorder="1" applyAlignment="1">
      <alignment horizontal="center" vertical="center" textRotation="90"/>
    </xf>
    <xf numFmtId="0" fontId="34" fillId="5" borderId="23" xfId="0" applyFont="1" applyFill="1" applyBorder="1" applyAlignment="1">
      <alignment horizontal="center"/>
    </xf>
    <xf numFmtId="0" fontId="34" fillId="5" borderId="30" xfId="0" applyFont="1" applyFill="1" applyBorder="1" applyAlignment="1">
      <alignment horizontal="center"/>
    </xf>
    <xf numFmtId="0" fontId="34" fillId="5" borderId="25" xfId="0" applyFont="1" applyFill="1" applyBorder="1" applyAlignment="1">
      <alignment horizontal="center"/>
    </xf>
    <xf numFmtId="0" fontId="26" fillId="0" borderId="10" xfId="0" applyFont="1" applyBorder="1" applyAlignment="1">
      <alignment horizontal="left" vertical="center" wrapText="1"/>
    </xf>
    <xf numFmtId="0" fontId="34" fillId="16" borderId="10" xfId="0" applyFont="1" applyFill="1" applyBorder="1" applyAlignment="1" applyProtection="1">
      <alignment horizontal="center"/>
      <protection locked="0"/>
    </xf>
    <xf numFmtId="0" fontId="34" fillId="15" borderId="10" xfId="0" applyFont="1" applyFill="1" applyBorder="1" applyAlignment="1" applyProtection="1">
      <alignment horizontal="center"/>
      <protection locked="0"/>
    </xf>
    <xf numFmtId="0" fontId="34" fillId="15" borderId="19" xfId="0" applyFont="1" applyFill="1" applyBorder="1" applyAlignment="1" applyProtection="1">
      <alignment horizontal="center" wrapText="1"/>
      <protection locked="0"/>
    </xf>
    <xf numFmtId="0" fontId="34" fillId="15" borderId="20" xfId="0" applyFont="1" applyFill="1" applyBorder="1" applyAlignment="1" applyProtection="1">
      <alignment horizontal="center" wrapText="1"/>
      <protection locked="0"/>
    </xf>
    <xf numFmtId="0" fontId="34" fillId="15" borderId="21" xfId="0" applyFont="1" applyFill="1" applyBorder="1" applyAlignment="1" applyProtection="1">
      <alignment horizontal="center" wrapText="1"/>
      <protection locked="0"/>
    </xf>
    <xf numFmtId="0" fontId="34" fillId="15" borderId="10" xfId="0" applyFont="1" applyFill="1" applyBorder="1" applyAlignment="1" applyProtection="1">
      <alignment horizontal="center" wrapText="1"/>
      <protection locked="0"/>
    </xf>
    <xf numFmtId="0" fontId="34" fillId="0" borderId="10" xfId="0" applyFont="1" applyBorder="1" applyAlignment="1">
      <alignment horizontal="center"/>
    </xf>
    <xf numFmtId="0" fontId="34" fillId="15" borderId="10" xfId="0" applyFont="1" applyFill="1" applyBorder="1" applyAlignment="1" applyProtection="1">
      <alignment horizontal="center" vertical="center" wrapText="1"/>
      <protection locked="0"/>
    </xf>
    <xf numFmtId="0" fontId="34" fillId="15" borderId="11" xfId="0" applyFont="1" applyFill="1" applyBorder="1" applyAlignment="1" applyProtection="1">
      <alignment horizontal="center" vertical="center" wrapText="1"/>
      <protection locked="0"/>
    </xf>
    <xf numFmtId="0" fontId="34" fillId="15" borderId="12" xfId="0" applyFont="1" applyFill="1" applyBorder="1" applyAlignment="1" applyProtection="1">
      <alignment horizontal="center" vertical="center" wrapText="1"/>
      <protection locked="0"/>
    </xf>
    <xf numFmtId="0" fontId="34" fillId="15" borderId="13" xfId="0" applyFont="1" applyFill="1" applyBorder="1" applyAlignment="1" applyProtection="1">
      <alignment horizontal="center" vertical="center" wrapText="1"/>
      <protection locked="0"/>
    </xf>
    <xf numFmtId="0" fontId="34" fillId="15" borderId="16" xfId="0" applyFont="1" applyFill="1" applyBorder="1" applyAlignment="1" applyProtection="1">
      <alignment horizontal="center" vertical="center" wrapText="1"/>
      <protection locked="0"/>
    </xf>
    <xf numFmtId="0" fontId="34" fillId="15" borderId="17" xfId="0" applyFont="1" applyFill="1" applyBorder="1" applyAlignment="1" applyProtection="1">
      <alignment horizontal="center" vertical="center" wrapText="1"/>
      <protection locked="0"/>
    </xf>
    <xf numFmtId="0" fontId="34" fillId="15" borderId="18" xfId="0" applyFont="1" applyFill="1" applyBorder="1" applyAlignment="1" applyProtection="1">
      <alignment horizontal="center" vertical="center" wrapText="1"/>
      <protection locked="0"/>
    </xf>
    <xf numFmtId="0" fontId="40" fillId="16" borderId="10" xfId="0" applyFont="1" applyFill="1" applyBorder="1" applyAlignment="1" applyProtection="1">
      <alignment horizontal="left"/>
      <protection locked="0"/>
    </xf>
    <xf numFmtId="0" fontId="34" fillId="15" borderId="10"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34" fillId="15" borderId="14" xfId="0" applyFont="1" applyFill="1" applyBorder="1" applyAlignment="1" applyProtection="1">
      <alignment horizontal="center" vertical="center" wrapText="1"/>
      <protection locked="0"/>
    </xf>
    <xf numFmtId="0" fontId="34" fillId="15" borderId="0" xfId="0" applyFont="1" applyFill="1" applyAlignment="1" applyProtection="1">
      <alignment horizontal="center" vertical="center" wrapText="1"/>
      <protection locked="0"/>
    </xf>
    <xf numFmtId="0" fontId="34" fillId="15" borderId="15" xfId="0" applyFont="1" applyFill="1" applyBorder="1" applyAlignment="1" applyProtection="1">
      <alignment horizontal="center" vertical="center" wrapText="1"/>
      <protection locked="0"/>
    </xf>
    <xf numFmtId="0" fontId="37" fillId="5" borderId="10" xfId="0" applyFont="1" applyFill="1" applyBorder="1" applyAlignment="1">
      <alignment horizontal="center" vertical="center" textRotation="90"/>
    </xf>
    <xf numFmtId="0" fontId="34" fillId="16" borderId="19" xfId="0" applyFont="1" applyFill="1" applyBorder="1" applyAlignment="1">
      <alignment horizontal="center"/>
    </xf>
    <xf numFmtId="0" fontId="34" fillId="16" borderId="20" xfId="0" applyFont="1" applyFill="1" applyBorder="1" applyAlignment="1">
      <alignment horizontal="center"/>
    </xf>
    <xf numFmtId="0" fontId="34" fillId="16" borderId="21" xfId="0" applyFont="1" applyFill="1" applyBorder="1" applyAlignment="1">
      <alignment horizontal="center"/>
    </xf>
    <xf numFmtId="0" fontId="29" fillId="15" borderId="19" xfId="0" applyFont="1" applyFill="1" applyBorder="1" applyAlignment="1">
      <alignment horizontal="center"/>
    </xf>
    <xf numFmtId="0" fontId="29" fillId="15" borderId="20" xfId="0" applyFont="1" applyFill="1" applyBorder="1" applyAlignment="1">
      <alignment horizontal="center"/>
    </xf>
    <xf numFmtId="0" fontId="29" fillId="15" borderId="21" xfId="0" applyFont="1" applyFill="1" applyBorder="1" applyAlignment="1">
      <alignment horizontal="center"/>
    </xf>
    <xf numFmtId="0" fontId="34" fillId="0" borderId="19" xfId="0" applyFont="1" applyBorder="1" applyAlignment="1">
      <alignment horizontal="left"/>
    </xf>
    <xf numFmtId="0" fontId="34" fillId="0" borderId="20" xfId="0" applyFont="1" applyBorder="1" applyAlignment="1">
      <alignment horizontal="left"/>
    </xf>
    <xf numFmtId="0" fontId="34" fillId="0" borderId="21" xfId="0" applyFont="1" applyBorder="1" applyAlignment="1">
      <alignment horizontal="left"/>
    </xf>
    <xf numFmtId="0" fontId="34" fillId="0" borderId="19" xfId="0" applyFont="1" applyBorder="1" applyAlignment="1">
      <alignment horizontal="right"/>
    </xf>
    <xf numFmtId="0" fontId="34" fillId="0" borderId="21" xfId="0" applyFont="1" applyBorder="1" applyAlignment="1">
      <alignment horizontal="right"/>
    </xf>
    <xf numFmtId="0" fontId="11" fillId="0" borderId="22" xfId="0" applyFont="1" applyBorder="1" applyAlignment="1">
      <alignment horizontal="center"/>
    </xf>
    <xf numFmtId="0" fontId="11" fillId="0" borderId="25" xfId="0" applyFont="1" applyBorder="1" applyAlignment="1">
      <alignment horizontal="center"/>
    </xf>
    <xf numFmtId="0" fontId="29" fillId="0" borderId="10" xfId="1" applyFont="1" applyFill="1" applyBorder="1" applyAlignment="1">
      <alignment horizontal="left" vertical="center" wrapText="1"/>
    </xf>
    <xf numFmtId="0" fontId="26" fillId="0" borderId="10" xfId="0" applyFont="1" applyBorder="1" applyAlignment="1">
      <alignment horizontal="left" wrapText="1"/>
    </xf>
    <xf numFmtId="0" fontId="26" fillId="0" borderId="10"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4" fillId="0" borderId="21" xfId="0" applyFont="1" applyBorder="1" applyAlignment="1">
      <alignment horizontal="center" vertical="center"/>
    </xf>
    <xf numFmtId="0" fontId="29" fillId="0" borderId="19" xfId="0" applyFont="1" applyBorder="1" applyAlignment="1">
      <alignment horizontal="left" vertical="center" wrapText="1"/>
    </xf>
    <xf numFmtId="0" fontId="29" fillId="0" borderId="20" xfId="0" applyFont="1" applyBorder="1" applyAlignment="1">
      <alignment horizontal="left" vertical="center" wrapText="1"/>
    </xf>
    <xf numFmtId="0" fontId="29" fillId="0" borderId="21" xfId="0" applyFont="1" applyBorder="1" applyAlignment="1">
      <alignment horizontal="left" vertical="center" wrapText="1"/>
    </xf>
    <xf numFmtId="0" fontId="63" fillId="0" borderId="10" xfId="0" applyFont="1" applyBorder="1" applyAlignment="1">
      <alignment horizontal="center" vertical="center" wrapText="1"/>
    </xf>
    <xf numFmtId="165" fontId="0" fillId="0" borderId="1" xfId="5" applyFont="1" applyBorder="1" applyAlignment="1">
      <alignment horizontal="center"/>
    </xf>
    <xf numFmtId="165" fontId="0" fillId="0" borderId="51" xfId="5" applyFont="1" applyBorder="1" applyAlignment="1">
      <alignment horizontal="center"/>
    </xf>
    <xf numFmtId="165" fontId="0" fillId="0" borderId="38" xfId="5" applyFont="1" applyBorder="1" applyAlignment="1">
      <alignment horizontal="center"/>
    </xf>
    <xf numFmtId="165" fontId="0" fillId="0" borderId="39" xfId="5" applyFont="1" applyBorder="1" applyAlignment="1">
      <alignment horizontal="center"/>
    </xf>
    <xf numFmtId="0" fontId="0" fillId="0" borderId="50" xfId="0" applyBorder="1" applyAlignment="1">
      <alignment horizontal="left"/>
    </xf>
    <xf numFmtId="0" fontId="0" fillId="0" borderId="1" xfId="0" applyBorder="1" applyAlignment="1">
      <alignment horizontal="left"/>
    </xf>
    <xf numFmtId="0" fontId="0" fillId="0" borderId="37" xfId="0" applyBorder="1" applyAlignment="1">
      <alignment horizontal="left"/>
    </xf>
    <xf numFmtId="0" fontId="0" fillId="0" borderId="38" xfId="0" applyBorder="1" applyAlignment="1">
      <alignment horizontal="left"/>
    </xf>
    <xf numFmtId="171" fontId="49" fillId="23" borderId="32" xfId="0" applyNumberFormat="1" applyFont="1" applyFill="1" applyBorder="1" applyAlignment="1">
      <alignment horizontal="center" vertical="center" wrapText="1"/>
    </xf>
    <xf numFmtId="171" fontId="49" fillId="23" borderId="33" xfId="0" applyNumberFormat="1" applyFont="1" applyFill="1" applyBorder="1" applyAlignment="1">
      <alignment horizontal="center" vertical="center" wrapText="1"/>
    </xf>
    <xf numFmtId="0" fontId="49" fillId="23" borderId="27" xfId="0" applyFont="1" applyFill="1" applyBorder="1" applyAlignment="1">
      <alignment horizontal="center"/>
    </xf>
    <xf numFmtId="0" fontId="49" fillId="23" borderId="28" xfId="0" applyFont="1" applyFill="1" applyBorder="1" applyAlignment="1">
      <alignment horizontal="center"/>
    </xf>
    <xf numFmtId="0" fontId="49" fillId="23" borderId="29" xfId="0" applyFont="1" applyFill="1" applyBorder="1" applyAlignment="1">
      <alignment horizontal="center"/>
    </xf>
    <xf numFmtId="171" fontId="49" fillId="23" borderId="3" xfId="0" applyNumberFormat="1" applyFont="1" applyFill="1" applyBorder="1" applyAlignment="1">
      <alignment horizontal="center" vertical="center" wrapText="1"/>
    </xf>
    <xf numFmtId="171" fontId="49" fillId="23" borderId="7" xfId="0" applyNumberFormat="1" applyFont="1" applyFill="1" applyBorder="1" applyAlignment="1">
      <alignment horizontal="center" vertical="center" wrapText="1"/>
    </xf>
    <xf numFmtId="171" fontId="49" fillId="23" borderId="4" xfId="0" applyNumberFormat="1" applyFont="1" applyFill="1" applyBorder="1" applyAlignment="1">
      <alignment horizontal="center" vertical="center" wrapText="1"/>
    </xf>
    <xf numFmtId="171" fontId="49" fillId="23" borderId="8" xfId="0" applyNumberFormat="1" applyFont="1" applyFill="1" applyBorder="1" applyAlignment="1">
      <alignment horizontal="center" vertical="center" wrapText="1"/>
    </xf>
    <xf numFmtId="171" fontId="49" fillId="23" borderId="5" xfId="0" applyNumberFormat="1" applyFont="1" applyFill="1" applyBorder="1" applyAlignment="1">
      <alignment horizontal="center" vertical="center" wrapText="1"/>
    </xf>
    <xf numFmtId="171" fontId="49" fillId="23" borderId="9" xfId="0" applyNumberFormat="1" applyFont="1" applyFill="1" applyBorder="1" applyAlignment="1">
      <alignment horizontal="center" vertical="center" wrapText="1"/>
    </xf>
    <xf numFmtId="0" fontId="13" fillId="0" borderId="34" xfId="0" applyFont="1" applyBorder="1" applyAlignment="1">
      <alignment horizontal="center"/>
    </xf>
    <xf numFmtId="0" fontId="13" fillId="0" borderId="35" xfId="0" applyFont="1" applyBorder="1" applyAlignment="1">
      <alignment horizontal="center"/>
    </xf>
    <xf numFmtId="0" fontId="13" fillId="0" borderId="36" xfId="0" applyFont="1" applyBorder="1" applyAlignment="1">
      <alignment horizontal="center"/>
    </xf>
    <xf numFmtId="0" fontId="47" fillId="0" borderId="0" xfId="0" applyFont="1" applyAlignment="1">
      <alignment horizontal="center" vertical="center" wrapText="1"/>
    </xf>
    <xf numFmtId="14" fontId="47" fillId="0" borderId="8" xfId="0" applyNumberFormat="1" applyFont="1" applyBorder="1" applyAlignment="1">
      <alignment horizontal="right" vertical="center"/>
    </xf>
    <xf numFmtId="168" fontId="2" fillId="0" borderId="0" xfId="0" applyNumberFormat="1" applyFont="1" applyAlignment="1">
      <alignment horizontal="left"/>
    </xf>
    <xf numFmtId="168" fontId="2" fillId="0" borderId="6" xfId="0" applyNumberFormat="1" applyFont="1" applyBorder="1" applyAlignment="1">
      <alignment horizontal="left"/>
    </xf>
    <xf numFmtId="0" fontId="5" fillId="12" borderId="0" xfId="0" applyFont="1" applyFill="1" applyAlignment="1">
      <alignment horizontal="left" vertical="top" wrapText="1"/>
    </xf>
    <xf numFmtId="0" fontId="8" fillId="0" borderId="0" xfId="0" applyFont="1" applyAlignment="1">
      <alignment horizontal="center"/>
    </xf>
    <xf numFmtId="0" fontId="0" fillId="15" borderId="43" xfId="0" applyFill="1" applyBorder="1" applyAlignment="1">
      <alignment horizontal="center" vertical="center"/>
    </xf>
    <xf numFmtId="0" fontId="0" fillId="15" borderId="2" xfId="0" applyFill="1" applyBorder="1" applyAlignment="1">
      <alignment horizontal="center" vertical="center"/>
    </xf>
    <xf numFmtId="168" fontId="25" fillId="0" borderId="0" xfId="0" applyNumberFormat="1" applyFont="1" applyAlignment="1">
      <alignment horizontal="left"/>
    </xf>
    <xf numFmtId="168" fontId="25" fillId="0" borderId="6" xfId="0" applyNumberFormat="1" applyFont="1" applyBorder="1" applyAlignment="1">
      <alignment horizontal="left"/>
    </xf>
    <xf numFmtId="169" fontId="2" fillId="0" borderId="0" xfId="0" applyNumberFormat="1" applyFont="1" applyAlignment="1">
      <alignment horizontal="left"/>
    </xf>
    <xf numFmtId="169" fontId="2" fillId="0" borderId="6" xfId="0" applyNumberFormat="1" applyFont="1" applyBorder="1" applyAlignment="1">
      <alignment horizontal="left"/>
    </xf>
    <xf numFmtId="0" fontId="47" fillId="4" borderId="4" xfId="0" applyFont="1" applyFill="1" applyBorder="1" applyAlignment="1">
      <alignment horizontal="center" vertical="center"/>
    </xf>
    <xf numFmtId="0" fontId="47" fillId="4" borderId="5" xfId="0" applyFont="1" applyFill="1" applyBorder="1" applyAlignment="1">
      <alignment horizontal="center" vertical="center"/>
    </xf>
    <xf numFmtId="0" fontId="47" fillId="21" borderId="2" xfId="0" applyFont="1" applyFill="1" applyBorder="1" applyAlignment="1">
      <alignment horizontal="left" vertical="center"/>
    </xf>
    <xf numFmtId="0" fontId="47" fillId="21" borderId="0" xfId="0" applyFont="1" applyFill="1" applyAlignment="1">
      <alignment horizontal="left" vertical="center"/>
    </xf>
    <xf numFmtId="0" fontId="47" fillId="4" borderId="7" xfId="0" applyFont="1" applyFill="1" applyBorder="1" applyAlignment="1">
      <alignment horizontal="left"/>
    </xf>
    <xf numFmtId="0" fontId="47" fillId="4" borderId="8" xfId="0" applyFont="1" applyFill="1" applyBorder="1" applyAlignment="1">
      <alignment horizontal="left"/>
    </xf>
    <xf numFmtId="0" fontId="49" fillId="20" borderId="3" xfId="0" applyFont="1" applyFill="1" applyBorder="1" applyAlignment="1">
      <alignment horizontal="center"/>
    </xf>
    <xf numFmtId="0" fontId="49" fillId="20" borderId="4" xfId="0" applyFont="1" applyFill="1" applyBorder="1" applyAlignment="1">
      <alignment horizontal="center"/>
    </xf>
    <xf numFmtId="0" fontId="50" fillId="20" borderId="4" xfId="0" applyFont="1" applyFill="1" applyBorder="1" applyAlignment="1">
      <alignment horizontal="center"/>
    </xf>
    <xf numFmtId="0" fontId="50" fillId="20" borderId="5" xfId="0" applyFont="1" applyFill="1" applyBorder="1" applyAlignment="1">
      <alignment horizontal="center"/>
    </xf>
    <xf numFmtId="0" fontId="50" fillId="20" borderId="32" xfId="0" applyFont="1" applyFill="1" applyBorder="1" applyAlignment="1">
      <alignment horizontal="center" vertical="center"/>
    </xf>
    <xf numFmtId="0" fontId="50" fillId="20" borderId="33" xfId="0" applyFont="1" applyFill="1" applyBorder="1" applyAlignment="1">
      <alignment horizontal="center" vertical="center"/>
    </xf>
    <xf numFmtId="171" fontId="49" fillId="20" borderId="5" xfId="0" applyNumberFormat="1" applyFont="1" applyFill="1" applyBorder="1" applyAlignment="1">
      <alignment horizontal="center" vertical="center" wrapText="1"/>
    </xf>
    <xf numFmtId="171" fontId="49" fillId="20" borderId="9" xfId="0" applyNumberFormat="1" applyFont="1" applyFill="1" applyBorder="1" applyAlignment="1">
      <alignment horizontal="center" vertical="center" wrapText="1"/>
    </xf>
    <xf numFmtId="171" fontId="49" fillId="20" borderId="3" xfId="0" applyNumberFormat="1" applyFont="1" applyFill="1" applyBorder="1" applyAlignment="1">
      <alignment horizontal="center" vertical="center" wrapText="1"/>
    </xf>
    <xf numFmtId="171" fontId="49" fillId="20" borderId="7" xfId="0" applyNumberFormat="1" applyFont="1" applyFill="1" applyBorder="1" applyAlignment="1">
      <alignment horizontal="center" vertical="center" wrapText="1"/>
    </xf>
    <xf numFmtId="171" fontId="49" fillId="20" borderId="4" xfId="0" applyNumberFormat="1" applyFont="1" applyFill="1" applyBorder="1" applyAlignment="1">
      <alignment horizontal="center" vertical="center" wrapText="1"/>
    </xf>
    <xf numFmtId="171" fontId="49" fillId="20" borderId="8" xfId="0" applyNumberFormat="1" applyFont="1" applyFill="1" applyBorder="1" applyAlignment="1">
      <alignment horizontal="center" vertical="center" wrapText="1"/>
    </xf>
    <xf numFmtId="171" fontId="49" fillId="20" borderId="62" xfId="0" applyNumberFormat="1" applyFont="1" applyFill="1" applyBorder="1" applyAlignment="1">
      <alignment horizontal="center" vertical="center" wrapText="1"/>
    </xf>
    <xf numFmtId="171" fontId="49" fillId="20" borderId="36" xfId="0" applyNumberFormat="1" applyFont="1" applyFill="1" applyBorder="1" applyAlignment="1">
      <alignment horizontal="center" vertical="center" wrapText="1"/>
    </xf>
    <xf numFmtId="171" fontId="49" fillId="20" borderId="34" xfId="0" applyNumberFormat="1" applyFont="1" applyFill="1" applyBorder="1" applyAlignment="1">
      <alignment horizontal="center" vertical="center" wrapText="1"/>
    </xf>
    <xf numFmtId="168" fontId="3" fillId="18" borderId="3" xfId="0" applyNumberFormat="1" applyFont="1" applyFill="1" applyBorder="1" applyAlignment="1">
      <alignment horizontal="center" vertical="center"/>
    </xf>
    <xf numFmtId="168" fontId="3" fillId="18" borderId="4" xfId="0" applyNumberFormat="1" applyFont="1" applyFill="1" applyBorder="1" applyAlignment="1">
      <alignment horizontal="center" vertical="center"/>
    </xf>
    <xf numFmtId="168" fontId="3" fillId="18" borderId="5" xfId="0" applyNumberFormat="1" applyFont="1" applyFill="1" applyBorder="1" applyAlignment="1">
      <alignment horizontal="center" vertical="center"/>
    </xf>
    <xf numFmtId="168" fontId="3" fillId="18" borderId="7" xfId="0" applyNumberFormat="1" applyFont="1" applyFill="1" applyBorder="1" applyAlignment="1">
      <alignment horizontal="center" vertical="center"/>
    </xf>
    <xf numFmtId="168" fontId="3" fillId="18" borderId="8" xfId="0" applyNumberFormat="1" applyFont="1" applyFill="1" applyBorder="1" applyAlignment="1">
      <alignment horizontal="center" vertical="center"/>
    </xf>
    <xf numFmtId="168" fontId="3" fillId="18" borderId="9" xfId="0" applyNumberFormat="1" applyFont="1" applyFill="1" applyBorder="1" applyAlignment="1">
      <alignment horizontal="center" vertical="center"/>
    </xf>
    <xf numFmtId="0" fontId="3" fillId="18" borderId="32" xfId="0" applyFont="1" applyFill="1" applyBorder="1" applyAlignment="1">
      <alignment horizontal="center" vertical="center" wrapText="1"/>
    </xf>
    <xf numFmtId="0" fontId="3" fillId="18" borderId="33" xfId="0" applyFont="1" applyFill="1" applyBorder="1" applyAlignment="1">
      <alignment horizontal="center" vertical="center" wrapText="1"/>
    </xf>
    <xf numFmtId="0" fontId="3" fillId="18" borderId="32" xfId="0" applyFont="1" applyFill="1" applyBorder="1" applyAlignment="1">
      <alignment horizontal="center" vertical="center"/>
    </xf>
    <xf numFmtId="0" fontId="3" fillId="18" borderId="33" xfId="0" applyFont="1" applyFill="1" applyBorder="1" applyAlignment="1">
      <alignment horizontal="center" vertical="center"/>
    </xf>
    <xf numFmtId="0" fontId="47" fillId="12" borderId="60" xfId="0" applyFont="1" applyFill="1" applyBorder="1" applyAlignment="1">
      <alignment horizontal="left"/>
    </xf>
    <xf numFmtId="0" fontId="47" fillId="12" borderId="61" xfId="0" applyFont="1" applyFill="1" applyBorder="1" applyAlignment="1">
      <alignment horizontal="left"/>
    </xf>
    <xf numFmtId="0" fontId="47" fillId="12" borderId="58" xfId="0" applyFont="1" applyFill="1" applyBorder="1" applyAlignment="1">
      <alignment horizontal="left"/>
    </xf>
    <xf numFmtId="0" fontId="47" fillId="12" borderId="57" xfId="0" applyFont="1" applyFill="1" applyBorder="1" applyAlignment="1">
      <alignment horizontal="left"/>
    </xf>
    <xf numFmtId="0" fontId="47" fillId="12" borderId="55" xfId="0" applyFont="1" applyFill="1" applyBorder="1" applyAlignment="1">
      <alignment horizontal="left"/>
    </xf>
    <xf numFmtId="0" fontId="47" fillId="12" borderId="56" xfId="0" applyFont="1" applyFill="1" applyBorder="1" applyAlignment="1">
      <alignment horizontal="left"/>
    </xf>
    <xf numFmtId="0" fontId="47" fillId="12" borderId="53" xfId="0" applyFont="1" applyFill="1" applyBorder="1" applyAlignment="1">
      <alignment horizontal="left"/>
    </xf>
    <xf numFmtId="0" fontId="47" fillId="12" borderId="54" xfId="0" applyFont="1" applyFill="1" applyBorder="1" applyAlignment="1">
      <alignment horizontal="left"/>
    </xf>
    <xf numFmtId="0" fontId="48" fillId="12" borderId="34" xfId="0" applyFont="1" applyFill="1" applyBorder="1" applyAlignment="1">
      <alignment horizontal="left" vertical="center"/>
    </xf>
    <xf numFmtId="0" fontId="48" fillId="12" borderId="35" xfId="0" applyFont="1" applyFill="1" applyBorder="1" applyAlignment="1">
      <alignment horizontal="left" vertical="center"/>
    </xf>
    <xf numFmtId="0" fontId="48" fillId="12" borderId="50" xfId="0" applyFont="1" applyFill="1" applyBorder="1" applyAlignment="1">
      <alignment horizontal="left" vertical="center"/>
    </xf>
    <xf numFmtId="0" fontId="48" fillId="12" borderId="1" xfId="0" applyFont="1" applyFill="1" applyBorder="1" applyAlignment="1">
      <alignment horizontal="left" vertical="center"/>
    </xf>
    <xf numFmtId="49" fontId="48" fillId="12" borderId="36" xfId="0" applyNumberFormat="1" applyFont="1" applyFill="1" applyBorder="1" applyAlignment="1">
      <alignment horizontal="center" vertical="center"/>
    </xf>
    <xf numFmtId="49" fontId="48" fillId="12" borderId="51" xfId="0" applyNumberFormat="1" applyFont="1" applyFill="1" applyBorder="1" applyAlignment="1">
      <alignment horizontal="center" vertical="center"/>
    </xf>
    <xf numFmtId="0" fontId="47" fillId="18" borderId="34" xfId="0" applyFont="1" applyFill="1" applyBorder="1" applyAlignment="1">
      <alignment horizontal="center" vertical="center"/>
    </xf>
    <xf numFmtId="0" fontId="47" fillId="18" borderId="35" xfId="0" applyFont="1" applyFill="1" applyBorder="1" applyAlignment="1">
      <alignment horizontal="center" vertical="center"/>
    </xf>
    <xf numFmtId="0" fontId="47" fillId="18" borderId="36" xfId="0" applyFont="1" applyFill="1" applyBorder="1" applyAlignment="1">
      <alignment horizontal="center" vertical="center"/>
    </xf>
    <xf numFmtId="0" fontId="47" fillId="18" borderId="40" xfId="0" applyFont="1" applyFill="1" applyBorder="1" applyAlignment="1">
      <alignment horizontal="center" vertical="center" wrapText="1"/>
    </xf>
    <xf numFmtId="0" fontId="47" fillId="18" borderId="41" xfId="0" applyFont="1" applyFill="1" applyBorder="1" applyAlignment="1">
      <alignment horizontal="center" vertical="center" wrapText="1"/>
    </xf>
    <xf numFmtId="0" fontId="3" fillId="3" borderId="0" xfId="0" applyFont="1" applyFill="1" applyAlignment="1">
      <alignment horizontal="center"/>
    </xf>
    <xf numFmtId="0" fontId="3" fillId="3" borderId="6" xfId="0" applyFont="1" applyFill="1" applyBorder="1" applyAlignment="1">
      <alignment horizontal="center"/>
    </xf>
    <xf numFmtId="0" fontId="3" fillId="0" borderId="0" xfId="0" applyFont="1" applyAlignment="1">
      <alignment horizontal="center"/>
    </xf>
    <xf numFmtId="0" fontId="3" fillId="0" borderId="6" xfId="0" applyFont="1" applyBorder="1" applyAlignment="1">
      <alignment horizontal="center"/>
    </xf>
    <xf numFmtId="0" fontId="44" fillId="18" borderId="27" xfId="0" applyFont="1" applyFill="1" applyBorder="1" applyAlignment="1">
      <alignment horizontal="center" wrapText="1"/>
    </xf>
    <xf numFmtId="0" fontId="44" fillId="18" borderId="28" xfId="0" applyFont="1" applyFill="1" applyBorder="1" applyAlignment="1">
      <alignment horizontal="center" wrapText="1"/>
    </xf>
    <xf numFmtId="0" fontId="44" fillId="18" borderId="29" xfId="0" applyFont="1" applyFill="1" applyBorder="1" applyAlignment="1">
      <alignment horizontal="center" wrapText="1"/>
    </xf>
    <xf numFmtId="0" fontId="3" fillId="0" borderId="0" xfId="0" applyFont="1" applyAlignment="1">
      <alignment horizontal="left"/>
    </xf>
    <xf numFmtId="0" fontId="0" fillId="15" borderId="42" xfId="0" applyFill="1" applyBorder="1" applyAlignment="1">
      <alignment horizontal="center" vertical="center"/>
    </xf>
    <xf numFmtId="168" fontId="25" fillId="0" borderId="8" xfId="0" applyNumberFormat="1" applyFont="1" applyBorder="1" applyAlignment="1">
      <alignment horizontal="left"/>
    </xf>
    <xf numFmtId="168" fontId="25" fillId="0" borderId="9" xfId="0" applyNumberFormat="1" applyFont="1" applyBorder="1" applyAlignment="1">
      <alignment horizontal="left"/>
    </xf>
    <xf numFmtId="168" fontId="24" fillId="0" borderId="0" xfId="0" applyNumberFormat="1" applyFont="1" applyAlignment="1">
      <alignment horizontal="left" vertical="center"/>
    </xf>
    <xf numFmtId="168" fontId="24" fillId="0" borderId="6" xfId="0" applyNumberFormat="1" applyFont="1" applyBorder="1" applyAlignment="1">
      <alignment horizontal="left" vertical="center"/>
    </xf>
    <xf numFmtId="0" fontId="0" fillId="15" borderId="2" xfId="0" applyFill="1" applyBorder="1" applyAlignment="1">
      <alignment horizontal="center" vertical="center" wrapText="1"/>
    </xf>
    <xf numFmtId="0" fontId="0" fillId="15" borderId="46" xfId="0" applyFill="1" applyBorder="1" applyAlignment="1">
      <alignment horizontal="center" vertical="center"/>
    </xf>
    <xf numFmtId="0" fontId="0" fillId="15" borderId="47" xfId="0" applyFill="1" applyBorder="1" applyAlignment="1">
      <alignment horizontal="center" vertical="center"/>
    </xf>
    <xf numFmtId="0" fontId="0" fillId="15" borderId="48" xfId="0" applyFill="1" applyBorder="1" applyAlignment="1">
      <alignment horizontal="center" vertical="center"/>
    </xf>
    <xf numFmtId="0" fontId="13" fillId="0" borderId="0" xfId="0" applyFont="1" applyAlignment="1">
      <alignment horizontal="center"/>
    </xf>
    <xf numFmtId="0" fontId="1" fillId="10" borderId="0" xfId="0" applyFont="1" applyFill="1" applyAlignment="1">
      <alignment horizontal="center" wrapText="1"/>
    </xf>
    <xf numFmtId="0" fontId="1" fillId="0" borderId="2" xfId="0" applyFont="1" applyBorder="1" applyAlignment="1">
      <alignment wrapText="1"/>
    </xf>
    <xf numFmtId="0" fontId="1" fillId="0" borderId="0" xfId="0" applyFont="1" applyAlignment="1">
      <alignment wrapText="1"/>
    </xf>
    <xf numFmtId="0" fontId="1" fillId="0" borderId="0" xfId="0" applyFont="1" applyAlignment="1">
      <alignment horizontal="center" vertical="center" wrapText="1"/>
    </xf>
    <xf numFmtId="0" fontId="1" fillId="0" borderId="6" xfId="0" applyFont="1" applyBorder="1" applyAlignment="1">
      <alignment wrapText="1"/>
    </xf>
    <xf numFmtId="0" fontId="1" fillId="10" borderId="0" xfId="0" applyFont="1" applyFill="1" applyAlignment="1">
      <alignment horizontal="center" vertical="center" wrapText="1"/>
    </xf>
    <xf numFmtId="0" fontId="1" fillId="0" borderId="0" xfId="0" applyFont="1" applyAlignment="1">
      <alignment horizontal="center" wrapText="1"/>
    </xf>
    <xf numFmtId="0" fontId="12" fillId="0" borderId="2" xfId="0" applyFont="1" applyBorder="1" applyAlignment="1">
      <alignment vertical="top" wrapText="1"/>
    </xf>
    <xf numFmtId="0" fontId="12" fillId="0" borderId="4" xfId="0" applyFont="1" applyBorder="1" applyAlignment="1">
      <alignment horizontal="center" wrapText="1"/>
    </xf>
    <xf numFmtId="0" fontId="1" fillId="14" borderId="0" xfId="0" applyFont="1" applyFill="1" applyAlignment="1">
      <alignment horizontal="center" vertical="center" wrapText="1"/>
    </xf>
    <xf numFmtId="0" fontId="12" fillId="0" borderId="0" xfId="0" applyFont="1" applyAlignment="1">
      <alignment horizontal="left" vertical="top" wrapText="1"/>
    </xf>
    <xf numFmtId="0" fontId="1" fillId="0" borderId="0" xfId="0" applyFont="1" applyAlignment="1">
      <alignment horizontal="center" vertical="center"/>
    </xf>
    <xf numFmtId="0" fontId="52" fillId="0" borderId="3" xfId="0" applyFont="1" applyBorder="1" applyAlignment="1">
      <alignment horizontal="center" vertical="center" textRotation="255"/>
    </xf>
    <xf numFmtId="0" fontId="52" fillId="0" borderId="2" xfId="0" applyFont="1" applyBorder="1" applyAlignment="1">
      <alignment horizontal="center" vertical="center" textRotation="255"/>
    </xf>
    <xf numFmtId="0" fontId="52" fillId="0" borderId="7" xfId="0" applyFont="1" applyBorder="1" applyAlignment="1">
      <alignment horizontal="center" vertical="center" textRotation="255"/>
    </xf>
  </cellXfs>
  <cellStyles count="6">
    <cellStyle name="Bueno" xfId="3" builtinId="26"/>
    <cellStyle name="Hipervínculo" xfId="1" builtinId="8"/>
    <cellStyle name="Moneda" xfId="5" builtinId="4"/>
    <cellStyle name="Moneda 2" xfId="4" xr:uid="{7AE9CB0F-263B-4BAC-9EBE-6BEBF1C44D5A}"/>
    <cellStyle name="Normal" xfId="0" builtinId="0"/>
    <cellStyle name="Porcentaje" xfId="2" builtinId="5"/>
  </cellStyles>
  <dxfs count="3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s>
  <tableStyles count="0" defaultTableStyle="TableStyleMedium2" defaultPivotStyle="PivotStyleLight16"/>
  <colors>
    <mruColors>
      <color rgb="FFFFC1C1"/>
      <color rgb="FFD4ED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190500</xdr:colOff>
      <xdr:row>0</xdr:row>
      <xdr:rowOff>78441</xdr:rowOff>
    </xdr:from>
    <xdr:to>
      <xdr:col>5</xdr:col>
      <xdr:colOff>724246</xdr:colOff>
      <xdr:row>1</xdr:row>
      <xdr:rowOff>778728</xdr:rowOff>
    </xdr:to>
    <xdr:pic>
      <xdr:nvPicPr>
        <xdr:cNvPr id="2" name="Imagen 1">
          <a:extLst>
            <a:ext uri="{FF2B5EF4-FFF2-40B4-BE49-F238E27FC236}">
              <a16:creationId xmlns:a16="http://schemas.microsoft.com/office/drawing/2014/main" id="{67EE50DF-F162-4738-94B8-4C5FB2F27535}"/>
            </a:ext>
          </a:extLst>
        </xdr:cNvPr>
        <xdr:cNvPicPr>
          <a:picLocks noChangeAspect="1"/>
        </xdr:cNvPicPr>
      </xdr:nvPicPr>
      <xdr:blipFill>
        <a:blip xmlns:r="http://schemas.openxmlformats.org/officeDocument/2006/relationships" r:embed="rId1"/>
        <a:stretch>
          <a:fillRect/>
        </a:stretch>
      </xdr:blipFill>
      <xdr:spPr>
        <a:xfrm>
          <a:off x="3720353" y="78441"/>
          <a:ext cx="1396599" cy="8795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163</xdr:row>
      <xdr:rowOff>13415</xdr:rowOff>
    </xdr:from>
    <xdr:ext cx="3646158" cy="465794"/>
    <xdr:pic>
      <xdr:nvPicPr>
        <xdr:cNvPr id="2" name="Picture 6">
          <a:extLst>
            <a:ext uri="{FF2B5EF4-FFF2-40B4-BE49-F238E27FC236}">
              <a16:creationId xmlns:a16="http://schemas.microsoft.com/office/drawing/2014/main" id="{A373AD53-F32B-462D-BD60-A514855C278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361" b="19872"/>
        <a:stretch/>
      </xdr:blipFill>
      <xdr:spPr>
        <a:xfrm>
          <a:off x="0" y="38100000"/>
          <a:ext cx="3646158" cy="46579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01.MMCM%20-%20Mirage/2026/03.March/07.Mar.%20Lauren%20Watson%20&amp;%20Benjamin%20Bruns/02.%20Wedding/Quote%20Lauren%20&amp;%20Benjamin%20Welcome%20Party.xlsx" TargetMode="External"/><Relationship Id="rId2" Type="http://schemas.openxmlformats.org/officeDocument/2006/relationships/externalLinkPath" Target="https://skyseaflyersl.sharepoint.com/sites/BODASELEGANCECOSTAMUJERES/Documentos%20compartidos/01.MMCM%20-%20Mirage/2026/03.March/07.Mar.%20Lauren%20Watson%20&amp;%20Benjamin%20Bruns/02.%20Wedding/Quote%20Lauren%20&amp;%20Benjamin%20Welcome%20Party.xlsx" TargetMode="External"/><Relationship Id="rId1" Type="http://schemas.openxmlformats.org/officeDocument/2006/relationships/externalLinkPath" Target="/sites/BODASELEGANCECOSTAMUJERES/Documentos%20compartidos/01.MMCM%20-%20Mirage/2026/03.March/07.Mar.%20Lauren%20Watson%20&amp;%20Benjamin%20Bruns/02.%20Wedding/Quote%20Lauren%20&amp;%20Benjamin%20Welcome%20Part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FICHA BODA "/>
      <sheetName val="Info I"/>
      <sheetName val="Info II Costes"/>
      <sheetName val="Info III Package "/>
    </sheetNames>
    <sheetDataSet>
      <sheetData sheetId="0"/>
      <sheetData sheetId="1">
        <row r="2">
          <cell r="B2" t="str">
            <v>Descripcion</v>
          </cell>
          <cell r="C2" t="str">
            <v>Clasificacion Fiscal</v>
          </cell>
          <cell r="D2"/>
          <cell r="E2"/>
        </row>
        <row r="3">
          <cell r="B3" t="str">
            <v>BODA SERV AUDIOVISUALES</v>
          </cell>
          <cell r="C3">
            <v>1</v>
          </cell>
          <cell r="D3">
            <v>0.16</v>
          </cell>
          <cell r="E3" t="str">
            <v>16% IVA</v>
          </cell>
          <cell r="G3" t="str">
            <v>MXN</v>
          </cell>
        </row>
        <row r="4">
          <cell r="B4" t="str">
            <v>BODA PAQUETES</v>
          </cell>
          <cell r="C4">
            <v>1</v>
          </cell>
          <cell r="D4">
            <v>0.16</v>
          </cell>
          <cell r="E4" t="str">
            <v>16% IVA</v>
          </cell>
        </row>
        <row r="5">
          <cell r="B5" t="str">
            <v>BODA BANQUETES</v>
          </cell>
          <cell r="C5">
            <v>1</v>
          </cell>
          <cell r="D5">
            <v>0.16</v>
          </cell>
          <cell r="E5" t="str">
            <v>16% IVA</v>
          </cell>
        </row>
        <row r="6">
          <cell r="B6" t="str">
            <v>BODA DECORACION</v>
          </cell>
          <cell r="C6">
            <v>1</v>
          </cell>
          <cell r="D6">
            <v>0.16</v>
          </cell>
          <cell r="E6" t="str">
            <v>16% IVA</v>
          </cell>
        </row>
        <row r="7">
          <cell r="B7" t="str">
            <v>BODA DJ/EQUIPO</v>
          </cell>
          <cell r="C7">
            <v>1</v>
          </cell>
          <cell r="D7">
            <v>0.16</v>
          </cell>
          <cell r="E7" t="str">
            <v>16% IVA</v>
          </cell>
        </row>
        <row r="8">
          <cell r="B8" t="str">
            <v>BODA EXTRA</v>
          </cell>
          <cell r="C8">
            <v>1</v>
          </cell>
          <cell r="D8">
            <v>0.16</v>
          </cell>
          <cell r="E8" t="str">
            <v>16% IVA</v>
          </cell>
        </row>
        <row r="9">
          <cell r="B9" t="str">
            <v>BODA FLORES</v>
          </cell>
          <cell r="C9">
            <v>1</v>
          </cell>
          <cell r="D9">
            <v>0.16</v>
          </cell>
          <cell r="E9" t="str">
            <v>16% IVA</v>
          </cell>
        </row>
        <row r="10">
          <cell r="B10" t="str">
            <v>BODA FOTOS/DVD</v>
          </cell>
          <cell r="C10">
            <v>1</v>
          </cell>
          <cell r="D10">
            <v>0.16</v>
          </cell>
          <cell r="E10" t="str">
            <v>16% IVA</v>
          </cell>
        </row>
        <row r="11">
          <cell r="B11" t="str">
            <v>BODA FOTOS/DVD MAJESTIC</v>
          </cell>
          <cell r="C11">
            <v>1</v>
          </cell>
          <cell r="D11">
            <v>0.16</v>
          </cell>
          <cell r="E11" t="str">
            <v>16% IVA</v>
          </cell>
        </row>
        <row r="12">
          <cell r="B12" t="str">
            <v>BODA ORQUESTRA</v>
          </cell>
          <cell r="C12">
            <v>1</v>
          </cell>
          <cell r="D12">
            <v>0.16</v>
          </cell>
          <cell r="E12" t="str">
            <v>16% IVA</v>
          </cell>
        </row>
        <row r="13">
          <cell r="B13" t="str">
            <v>BODA OPENBAR</v>
          </cell>
          <cell r="C13">
            <v>1</v>
          </cell>
          <cell r="D13">
            <v>0.16</v>
          </cell>
          <cell r="E13" t="str">
            <v>16% IVA</v>
          </cell>
        </row>
        <row r="14">
          <cell r="B14" t="str">
            <v>BODA PASTOR</v>
          </cell>
          <cell r="C14">
            <v>1</v>
          </cell>
          <cell r="D14">
            <v>0.16</v>
          </cell>
          <cell r="E14" t="str">
            <v>16% IVA</v>
          </cell>
        </row>
        <row r="15">
          <cell r="B15" t="str">
            <v>BODA PRESIDENTIAL SUITE</v>
          </cell>
          <cell r="C15">
            <v>1</v>
          </cell>
          <cell r="D15">
            <v>0.16</v>
          </cell>
          <cell r="E15" t="str">
            <v>16% IVA</v>
          </cell>
        </row>
        <row r="16">
          <cell r="B16" t="str">
            <v>BODA ALQ. SALON</v>
          </cell>
          <cell r="C16">
            <v>1</v>
          </cell>
          <cell r="D16">
            <v>0.16</v>
          </cell>
          <cell r="E16" t="str">
            <v>16% IVA</v>
          </cell>
        </row>
        <row r="17">
          <cell r="B17" t="str">
            <v>BODA SHOW</v>
          </cell>
          <cell r="C17">
            <v>1</v>
          </cell>
          <cell r="D17">
            <v>0.16</v>
          </cell>
          <cell r="E17" t="str">
            <v>16% IVA</v>
          </cell>
        </row>
        <row r="18">
          <cell r="B18" t="str">
            <v>BODA TABACOS</v>
          </cell>
          <cell r="C18">
            <v>1</v>
          </cell>
          <cell r="D18">
            <v>0.16</v>
          </cell>
          <cell r="E18" t="str">
            <v>16% IVA</v>
          </cell>
        </row>
        <row r="19">
          <cell r="B19" t="str">
            <v>BODA SPA</v>
          </cell>
          <cell r="C19">
            <v>1</v>
          </cell>
          <cell r="D19">
            <v>0.16</v>
          </cell>
          <cell r="E19" t="str">
            <v>16% IVA</v>
          </cell>
        </row>
        <row r="20">
          <cell r="B20" t="str">
            <v>DAY PASS ADULTO</v>
          </cell>
          <cell r="C20">
            <v>1</v>
          </cell>
          <cell r="D20">
            <v>0.16</v>
          </cell>
          <cell r="E20" t="str">
            <v>16% IVA</v>
          </cell>
        </row>
        <row r="21">
          <cell r="B21" t="str">
            <v>DESCUENTO POR ACUERDO COMERCIAL</v>
          </cell>
          <cell r="C21">
            <v>1</v>
          </cell>
          <cell r="D21">
            <v>0.16</v>
          </cell>
          <cell r="E21" t="str">
            <v>16% IVA</v>
          </cell>
        </row>
        <row r="27">
          <cell r="D27"/>
        </row>
        <row r="28">
          <cell r="B28"/>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inloveatmajestic.com/vendors-extras-en" TargetMode="External"/><Relationship Id="rId13" Type="http://schemas.openxmlformats.org/officeDocument/2006/relationships/hyperlink" Target="https://www.inloveatmajestic.com/vendors-extras-en" TargetMode="External"/><Relationship Id="rId18" Type="http://schemas.openxmlformats.org/officeDocument/2006/relationships/hyperlink" Target="https://www.inloveatmajestic.com/menus-en" TargetMode="External"/><Relationship Id="rId26" Type="http://schemas.openxmlformats.org/officeDocument/2006/relationships/hyperlink" Target="https://www.inloveatmajestic.com/locations/locations-mmcm" TargetMode="External"/><Relationship Id="rId3" Type="http://schemas.openxmlformats.org/officeDocument/2006/relationships/hyperlink" Target="https://www.inloveatmajestic.com/vendors-extras-en" TargetMode="External"/><Relationship Id="rId21" Type="http://schemas.openxmlformats.org/officeDocument/2006/relationships/hyperlink" Target="https://www.inloveatmajestic.com/locations/locations-mmcm" TargetMode="External"/><Relationship Id="rId7" Type="http://schemas.openxmlformats.org/officeDocument/2006/relationships/hyperlink" Target="https://www.inloveatmajestic.com/vendors-extras-en" TargetMode="External"/><Relationship Id="rId12" Type="http://schemas.openxmlformats.org/officeDocument/2006/relationships/hyperlink" Target="https://www.inloveatmajestic.com/vendors-extras-en" TargetMode="External"/><Relationship Id="rId17" Type="http://schemas.openxmlformats.org/officeDocument/2006/relationships/hyperlink" Target="https://www.inloveatmajestic.com/menus-en" TargetMode="External"/><Relationship Id="rId25" Type="http://schemas.openxmlformats.org/officeDocument/2006/relationships/hyperlink" Target="https://www.inloveatmajestic.com/locations/locations-mmcm" TargetMode="External"/><Relationship Id="rId2" Type="http://schemas.openxmlformats.org/officeDocument/2006/relationships/hyperlink" Target="https://www.inloveatmajestic.com/menus-en" TargetMode="External"/><Relationship Id="rId16" Type="http://schemas.openxmlformats.org/officeDocument/2006/relationships/hyperlink" Target="https://www.inloveatmajestic.com/menus-en" TargetMode="External"/><Relationship Id="rId20" Type="http://schemas.openxmlformats.org/officeDocument/2006/relationships/hyperlink" Target="https://www.inloveatmajestic.com/cakes" TargetMode="External"/><Relationship Id="rId29" Type="http://schemas.openxmlformats.org/officeDocument/2006/relationships/vmlDrawing" Target="../drawings/vmlDrawing1.vml"/><Relationship Id="rId1" Type="http://schemas.openxmlformats.org/officeDocument/2006/relationships/hyperlink" Target="https://www.inloveatmajestic.com/documents-en" TargetMode="External"/><Relationship Id="rId6" Type="http://schemas.openxmlformats.org/officeDocument/2006/relationships/hyperlink" Target="https://www.inloveatmajestic.com/vendors-extras-en" TargetMode="External"/><Relationship Id="rId11" Type="http://schemas.openxmlformats.org/officeDocument/2006/relationships/hyperlink" Target="https://www.inloveatmajestic.com/vendors-extras-en" TargetMode="External"/><Relationship Id="rId24" Type="http://schemas.openxmlformats.org/officeDocument/2006/relationships/hyperlink" Target="https://www.inloveatmajestic.com/locations/locations-mmcm" TargetMode="External"/><Relationship Id="rId5" Type="http://schemas.openxmlformats.org/officeDocument/2006/relationships/hyperlink" Target="https://www.inloveatmajestic.com/vendors-extras-en" TargetMode="External"/><Relationship Id="rId15" Type="http://schemas.openxmlformats.org/officeDocument/2006/relationships/hyperlink" Target="https://www.inloveatmajestic.com/vendors-extras-en" TargetMode="External"/><Relationship Id="rId23" Type="http://schemas.openxmlformats.org/officeDocument/2006/relationships/hyperlink" Target="https://www.inloveatmajestic.com/locations/locations-mmcm" TargetMode="External"/><Relationship Id="rId28" Type="http://schemas.openxmlformats.org/officeDocument/2006/relationships/drawing" Target="../drawings/drawing1.xml"/><Relationship Id="rId10" Type="http://schemas.openxmlformats.org/officeDocument/2006/relationships/hyperlink" Target="https://www.inloveatmajestic.com/vendors-extras-en" TargetMode="External"/><Relationship Id="rId19" Type="http://schemas.openxmlformats.org/officeDocument/2006/relationships/hyperlink" Target="https://www.inloveatmajestic.com/menus-en" TargetMode="External"/><Relationship Id="rId4" Type="http://schemas.openxmlformats.org/officeDocument/2006/relationships/hyperlink" Target="https://www.inloveatmajestic.com/vendors-extras-en" TargetMode="External"/><Relationship Id="rId9" Type="http://schemas.openxmlformats.org/officeDocument/2006/relationships/hyperlink" Target="https://www.inloveatmajestic.com/vendors-extras-en" TargetMode="External"/><Relationship Id="rId14" Type="http://schemas.openxmlformats.org/officeDocument/2006/relationships/hyperlink" Target="https://www.inloveatmajestic.com/vendors-extras-en" TargetMode="External"/><Relationship Id="rId22" Type="http://schemas.openxmlformats.org/officeDocument/2006/relationships/hyperlink" Target="https://www.inloveatmajestic.com/locations/locations-mmcm" TargetMode="External"/><Relationship Id="rId27"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C2B9F-5116-429E-9469-05B2094B7731}">
  <sheetPr codeName="Hoja1"/>
  <dimension ref="A1:J255"/>
  <sheetViews>
    <sheetView showGridLines="0" tabSelected="1" showWhiteSpace="0" view="pageLayout" zoomScale="85" zoomScaleNormal="80" zoomScalePageLayoutView="85" workbookViewId="0">
      <selection activeCell="B2" sqref="B2:I2"/>
    </sheetView>
  </sheetViews>
  <sheetFormatPr baseColWidth="10" defaultColWidth="0" defaultRowHeight="14.25"/>
  <cols>
    <col min="1" max="1" width="3.28515625" style="82" customWidth="1"/>
    <col min="2" max="2" width="17.85546875" style="82" customWidth="1"/>
    <col min="3" max="3" width="12.42578125" style="82" customWidth="1"/>
    <col min="4" max="4" width="15.85546875" style="82" customWidth="1"/>
    <col min="5" max="5" width="12" style="82" customWidth="1"/>
    <col min="6" max="6" width="17" style="82" customWidth="1"/>
    <col min="7" max="8" width="14" style="82" customWidth="1"/>
    <col min="9" max="9" width="13.5703125" style="82" bestFit="1" customWidth="1"/>
    <col min="10" max="10" width="3.28515625" style="82" customWidth="1"/>
    <col min="11" max="16384" width="11.42578125" style="82" hidden="1"/>
  </cols>
  <sheetData>
    <row r="1" spans="1:9">
      <c r="A1" s="94"/>
      <c r="B1" s="94"/>
      <c r="C1" s="94"/>
      <c r="D1" s="94"/>
      <c r="E1" s="94"/>
      <c r="F1" s="94"/>
      <c r="G1" s="94"/>
      <c r="H1" s="94"/>
      <c r="I1" s="94"/>
    </row>
    <row r="2" spans="1:9" ht="63.75" customHeight="1">
      <c r="A2" s="94"/>
      <c r="B2" s="420"/>
      <c r="C2" s="421"/>
      <c r="D2" s="421"/>
      <c r="E2" s="421"/>
      <c r="F2" s="421"/>
      <c r="G2" s="421"/>
      <c r="H2" s="421"/>
      <c r="I2" s="422"/>
    </row>
    <row r="3" spans="1:9" ht="23.25" customHeight="1">
      <c r="A3" s="94"/>
      <c r="B3" s="426" t="s">
        <v>608</v>
      </c>
      <c r="C3" s="426"/>
      <c r="D3" s="426"/>
      <c r="E3" s="426"/>
      <c r="F3" s="426"/>
      <c r="G3" s="426"/>
      <c r="H3" s="426"/>
      <c r="I3" s="426"/>
    </row>
    <row r="4" spans="1:9">
      <c r="A4" s="94"/>
      <c r="B4" s="94"/>
      <c r="C4" s="94"/>
      <c r="D4" s="94"/>
      <c r="E4" s="94"/>
      <c r="F4" s="94"/>
      <c r="G4" s="94"/>
      <c r="H4" s="94"/>
      <c r="I4" s="94"/>
    </row>
    <row r="5" spans="1:9">
      <c r="A5" s="94"/>
      <c r="B5" s="94" t="s">
        <v>39</v>
      </c>
      <c r="C5" s="105" t="s">
        <v>605</v>
      </c>
      <c r="D5" s="107"/>
      <c r="E5" s="107"/>
      <c r="F5" s="94"/>
      <c r="G5" s="94"/>
      <c r="H5" s="398" t="s">
        <v>48</v>
      </c>
      <c r="I5" s="398"/>
    </row>
    <row r="6" spans="1:9">
      <c r="A6" s="94"/>
      <c r="B6" s="94" t="s">
        <v>36</v>
      </c>
      <c r="C6" s="384"/>
      <c r="D6" s="384"/>
      <c r="E6" s="384"/>
      <c r="F6" s="94" t="s">
        <v>38</v>
      </c>
      <c r="G6" s="99"/>
      <c r="H6" s="398"/>
      <c r="I6" s="398"/>
    </row>
    <row r="7" spans="1:9">
      <c r="A7" s="94"/>
      <c r="B7" s="94" t="s">
        <v>37</v>
      </c>
      <c r="C7" s="384"/>
      <c r="D7" s="384"/>
      <c r="E7" s="384"/>
      <c r="F7" s="94" t="s">
        <v>38</v>
      </c>
      <c r="G7" s="99"/>
      <c r="H7" s="398"/>
      <c r="I7" s="398"/>
    </row>
    <row r="8" spans="1:9">
      <c r="A8" s="94"/>
      <c r="B8" s="94" t="s">
        <v>54</v>
      </c>
      <c r="C8" s="384"/>
      <c r="D8" s="384"/>
      <c r="E8" s="384"/>
      <c r="F8" s="94" t="s">
        <v>52</v>
      </c>
      <c r="G8" s="104"/>
      <c r="H8" s="398"/>
      <c r="I8" s="398"/>
    </row>
    <row r="9" spans="1:9">
      <c r="A9" s="94"/>
      <c r="B9" s="94" t="s">
        <v>53</v>
      </c>
      <c r="C9" s="104"/>
      <c r="D9" s="107"/>
      <c r="E9" s="107"/>
      <c r="F9" s="94" t="s">
        <v>47</v>
      </c>
      <c r="G9" s="106"/>
      <c r="H9" s="398"/>
      <c r="I9" s="398"/>
    </row>
    <row r="10" spans="1:9">
      <c r="A10" s="94"/>
      <c r="B10" s="94" t="s">
        <v>635</v>
      </c>
      <c r="C10" s="105" t="s">
        <v>605</v>
      </c>
      <c r="D10" s="94" t="s">
        <v>41</v>
      </c>
      <c r="E10" s="108"/>
      <c r="F10" s="94"/>
      <c r="G10" s="107"/>
      <c r="H10" s="398"/>
      <c r="I10" s="398"/>
    </row>
    <row r="11" spans="1:9">
      <c r="A11" s="94"/>
      <c r="B11" s="94" t="s">
        <v>40</v>
      </c>
      <c r="C11" s="105" t="s">
        <v>605</v>
      </c>
      <c r="D11" s="94" t="s">
        <v>42</v>
      </c>
      <c r="E11" s="108"/>
      <c r="F11" s="94"/>
      <c r="G11" s="107"/>
      <c r="H11" s="398"/>
      <c r="I11" s="398"/>
    </row>
    <row r="12" spans="1:9">
      <c r="A12" s="94"/>
      <c r="B12" s="94" t="s">
        <v>43</v>
      </c>
      <c r="C12" s="389" t="s">
        <v>248</v>
      </c>
      <c r="D12" s="389"/>
      <c r="E12" s="389"/>
      <c r="F12" s="94" t="s">
        <v>44</v>
      </c>
      <c r="G12" s="104"/>
      <c r="H12" s="398"/>
      <c r="I12" s="398"/>
    </row>
    <row r="13" spans="1:9">
      <c r="A13" s="94"/>
      <c r="B13" s="94" t="s">
        <v>45</v>
      </c>
      <c r="C13" s="384"/>
      <c r="D13" s="384"/>
      <c r="E13" s="384"/>
      <c r="F13" s="94"/>
      <c r="G13" s="94"/>
      <c r="H13" s="398"/>
      <c r="I13" s="398"/>
    </row>
    <row r="14" spans="1:9">
      <c r="A14" s="94"/>
      <c r="B14" s="94" t="s">
        <v>46</v>
      </c>
      <c r="C14" s="384"/>
      <c r="D14" s="384"/>
      <c r="E14" s="384"/>
      <c r="F14" s="94"/>
      <c r="G14" s="94"/>
      <c r="H14" s="398"/>
      <c r="I14" s="398"/>
    </row>
    <row r="15" spans="1:9">
      <c r="A15" s="94"/>
      <c r="B15" s="94"/>
      <c r="C15" s="94"/>
      <c r="D15" s="94"/>
      <c r="E15" s="94"/>
      <c r="F15" s="94"/>
      <c r="G15" s="94"/>
      <c r="H15" s="94"/>
      <c r="I15" s="94"/>
    </row>
    <row r="16" spans="1:9">
      <c r="A16" s="94"/>
      <c r="B16" s="382" t="s">
        <v>607</v>
      </c>
      <c r="C16" s="382"/>
      <c r="D16" s="382"/>
      <c r="E16" s="382"/>
      <c r="F16" s="382"/>
      <c r="G16" s="382"/>
      <c r="H16" s="382"/>
      <c r="I16" s="382"/>
    </row>
    <row r="17" spans="1:9" ht="41.25" customHeight="1">
      <c r="A17" s="94"/>
      <c r="B17" s="399" t="s">
        <v>628</v>
      </c>
      <c r="C17" s="399"/>
      <c r="D17" s="399"/>
      <c r="E17" s="399"/>
      <c r="F17" s="399"/>
      <c r="G17" s="399"/>
      <c r="H17" s="399"/>
      <c r="I17" s="399"/>
    </row>
    <row r="18" spans="1:9" ht="46.5" customHeight="1">
      <c r="A18" s="94"/>
      <c r="B18" s="423" t="s">
        <v>677</v>
      </c>
      <c r="C18" s="424"/>
      <c r="D18" s="424"/>
      <c r="E18" s="424"/>
      <c r="F18" s="424"/>
      <c r="G18" s="424"/>
      <c r="H18" s="424"/>
      <c r="I18" s="425"/>
    </row>
    <row r="19" spans="1:9" ht="15">
      <c r="A19" s="94"/>
      <c r="B19" s="339" t="s">
        <v>846</v>
      </c>
      <c r="C19" s="340"/>
      <c r="D19" s="340"/>
      <c r="E19" s="341" t="s">
        <v>497</v>
      </c>
      <c r="F19" s="341" t="s">
        <v>247</v>
      </c>
      <c r="G19" s="341" t="s">
        <v>847</v>
      </c>
      <c r="H19" s="341" t="s">
        <v>528</v>
      </c>
      <c r="I19" s="342" t="s">
        <v>353</v>
      </c>
    </row>
    <row r="20" spans="1:9">
      <c r="A20" s="94"/>
      <c r="B20" s="407" t="s">
        <v>676</v>
      </c>
      <c r="C20" s="408"/>
      <c r="D20" s="409"/>
      <c r="E20" s="94"/>
      <c r="F20" s="404" t="s">
        <v>675</v>
      </c>
      <c r="G20" s="405"/>
      <c r="H20" s="405"/>
      <c r="I20" s="406"/>
    </row>
    <row r="21" spans="1:9">
      <c r="A21" s="94"/>
      <c r="B21" s="94"/>
      <c r="C21" s="94"/>
      <c r="D21" s="94"/>
      <c r="E21" s="94"/>
      <c r="F21" s="94"/>
      <c r="G21" s="96"/>
      <c r="H21" s="94"/>
      <c r="I21" s="94"/>
    </row>
    <row r="22" spans="1:9">
      <c r="A22" s="94"/>
      <c r="B22" s="94" t="s">
        <v>625</v>
      </c>
      <c r="C22" s="94"/>
      <c r="D22" s="94"/>
      <c r="E22" s="94"/>
      <c r="F22" s="94"/>
      <c r="G22" s="94"/>
      <c r="H22" s="94"/>
      <c r="I22" s="94"/>
    </row>
    <row r="23" spans="1:9">
      <c r="A23" s="94"/>
      <c r="B23" s="94" t="s">
        <v>49</v>
      </c>
      <c r="C23" s="104"/>
      <c r="D23" s="97" t="s">
        <v>678</v>
      </c>
      <c r="E23" s="104"/>
      <c r="F23" s="97" t="s">
        <v>679</v>
      </c>
      <c r="G23" s="104"/>
      <c r="H23" s="97" t="s">
        <v>680</v>
      </c>
      <c r="I23" s="104"/>
    </row>
    <row r="24" spans="1:9">
      <c r="A24" s="94"/>
      <c r="B24" s="94" t="s">
        <v>265</v>
      </c>
      <c r="C24" s="104"/>
      <c r="D24" s="97" t="s">
        <v>266</v>
      </c>
      <c r="E24" s="104"/>
      <c r="F24" s="96"/>
      <c r="G24" s="96"/>
      <c r="H24" s="96"/>
      <c r="I24" s="96"/>
    </row>
    <row r="25" spans="1:9">
      <c r="A25" s="94"/>
      <c r="B25" s="94" t="s">
        <v>101</v>
      </c>
      <c r="C25" s="99"/>
      <c r="D25" s="97" t="s">
        <v>636</v>
      </c>
      <c r="E25" s="99"/>
      <c r="F25" s="94"/>
      <c r="G25" s="94"/>
      <c r="H25" s="94"/>
      <c r="I25" s="94"/>
    </row>
    <row r="26" spans="1:9">
      <c r="A26" s="94"/>
      <c r="B26" s="94" t="s">
        <v>51</v>
      </c>
      <c r="C26" s="398"/>
      <c r="D26" s="398"/>
      <c r="E26" s="398"/>
      <c r="F26" s="398"/>
      <c r="G26" s="398"/>
      <c r="H26" s="398"/>
      <c r="I26" s="398"/>
    </row>
    <row r="27" spans="1:9">
      <c r="A27" s="94"/>
      <c r="B27" s="94"/>
      <c r="C27" s="94"/>
      <c r="D27" s="94"/>
      <c r="E27" s="94"/>
      <c r="F27" s="94"/>
      <c r="G27" s="94"/>
      <c r="H27" s="94"/>
      <c r="I27" s="94"/>
    </row>
    <row r="28" spans="1:9" ht="15.75" customHeight="1">
      <c r="A28" s="403" t="s">
        <v>271</v>
      </c>
      <c r="B28" s="382" t="s">
        <v>271</v>
      </c>
      <c r="C28" s="382"/>
      <c r="D28" s="382"/>
      <c r="E28" s="382"/>
      <c r="F28" s="382"/>
      <c r="G28" s="382"/>
      <c r="H28" s="382"/>
      <c r="I28" s="382"/>
    </row>
    <row r="29" spans="1:9" ht="15.75" customHeight="1">
      <c r="A29" s="403"/>
      <c r="B29" s="94" t="s">
        <v>55</v>
      </c>
      <c r="C29" s="99"/>
      <c r="D29" s="97" t="s">
        <v>59</v>
      </c>
      <c r="E29" s="383"/>
      <c r="F29" s="383"/>
      <c r="G29" s="94" t="s">
        <v>416</v>
      </c>
      <c r="H29" s="94"/>
      <c r="I29" s="94"/>
    </row>
    <row r="30" spans="1:9" ht="15">
      <c r="A30" s="403"/>
      <c r="B30" s="343" t="s">
        <v>56</v>
      </c>
      <c r="C30" s="383"/>
      <c r="D30" s="383"/>
      <c r="E30" s="94"/>
      <c r="F30" s="97" t="s">
        <v>295</v>
      </c>
      <c r="G30" s="373"/>
      <c r="H30" s="374"/>
      <c r="I30" s="375"/>
    </row>
    <row r="31" spans="1:9">
      <c r="A31" s="403"/>
      <c r="B31" s="94" t="s">
        <v>57</v>
      </c>
      <c r="C31" s="109"/>
      <c r="D31" s="94"/>
      <c r="E31" s="94"/>
      <c r="F31" s="97" t="s">
        <v>99</v>
      </c>
      <c r="G31" s="390"/>
      <c r="H31" s="390"/>
      <c r="I31" s="390"/>
    </row>
    <row r="32" spans="1:9">
      <c r="A32" s="403"/>
      <c r="B32" s="94"/>
      <c r="C32" s="94"/>
      <c r="D32" s="94"/>
      <c r="E32" s="94"/>
      <c r="F32" s="94"/>
      <c r="G32" s="390"/>
      <c r="H32" s="390"/>
      <c r="I32" s="390"/>
    </row>
    <row r="33" spans="1:9" ht="15">
      <c r="A33" s="403"/>
      <c r="B33" s="343" t="s">
        <v>245</v>
      </c>
      <c r="C33" s="94" t="s">
        <v>246</v>
      </c>
      <c r="D33" s="94"/>
      <c r="E33" s="94"/>
      <c r="F33" s="94"/>
      <c r="G33" s="94"/>
      <c r="H33" s="94"/>
      <c r="I33" s="94"/>
    </row>
    <row r="34" spans="1:9" ht="15">
      <c r="A34" s="403"/>
      <c r="B34" s="343" t="s">
        <v>247</v>
      </c>
      <c r="C34" s="94"/>
      <c r="D34" s="94"/>
      <c r="E34" s="107" t="s">
        <v>298</v>
      </c>
      <c r="F34" s="94"/>
      <c r="G34" s="94"/>
      <c r="H34" s="94"/>
      <c r="I34" s="94"/>
    </row>
    <row r="35" spans="1:9">
      <c r="A35" s="403"/>
      <c r="B35" s="94" t="s">
        <v>55</v>
      </c>
      <c r="C35" s="383"/>
      <c r="D35" s="383"/>
      <c r="E35" s="110">
        <v>1</v>
      </c>
      <c r="F35" s="97" t="s">
        <v>637</v>
      </c>
      <c r="G35" s="384"/>
      <c r="H35" s="384"/>
      <c r="I35" s="384"/>
    </row>
    <row r="36" spans="1:9">
      <c r="A36" s="403"/>
      <c r="B36" s="94" t="s">
        <v>296</v>
      </c>
      <c r="C36" s="389" t="str">
        <f>IFERROR(IF(E36&gt;0,LEFT(C35,SEARCH(" (",C35)-1)&amp;" (extra guests)",""),"")</f>
        <v/>
      </c>
      <c r="D36" s="389"/>
      <c r="E36" s="110">
        <f>IF(($C$23+$E$23+$G$23+$I$23)&lt;=40,0,($C$23+$E$23+$G$23+$I$23)-40)</f>
        <v>0</v>
      </c>
      <c r="F36" s="97" t="s">
        <v>638</v>
      </c>
      <c r="G36" s="384"/>
      <c r="H36" s="384"/>
      <c r="I36" s="384"/>
    </row>
    <row r="37" spans="1:9">
      <c r="A37" s="403"/>
      <c r="B37" s="94" t="s">
        <v>640</v>
      </c>
      <c r="C37" s="383"/>
      <c r="D37" s="383"/>
      <c r="E37" s="94"/>
      <c r="F37" s="97" t="s">
        <v>639</v>
      </c>
      <c r="G37" s="384"/>
      <c r="H37" s="384"/>
      <c r="I37" s="384"/>
    </row>
    <row r="38" spans="1:9">
      <c r="A38" s="403"/>
      <c r="B38" s="94" t="s">
        <v>262</v>
      </c>
      <c r="C38" s="391"/>
      <c r="D38" s="392"/>
      <c r="E38" s="392"/>
      <c r="F38" s="392"/>
      <c r="G38" s="392"/>
      <c r="H38" s="392"/>
      <c r="I38" s="393"/>
    </row>
    <row r="39" spans="1:9">
      <c r="A39" s="403"/>
      <c r="B39" s="94"/>
      <c r="C39" s="400"/>
      <c r="D39" s="401"/>
      <c r="E39" s="401"/>
      <c r="F39" s="401"/>
      <c r="G39" s="401"/>
      <c r="H39" s="401"/>
      <c r="I39" s="402"/>
    </row>
    <row r="40" spans="1:9">
      <c r="A40" s="403"/>
      <c r="B40" s="94"/>
      <c r="C40" s="394"/>
      <c r="D40" s="395"/>
      <c r="E40" s="395"/>
      <c r="F40" s="395"/>
      <c r="G40" s="395"/>
      <c r="H40" s="395"/>
      <c r="I40" s="396"/>
    </row>
    <row r="41" spans="1:9">
      <c r="A41" s="403"/>
      <c r="B41" s="94" t="s">
        <v>655</v>
      </c>
      <c r="C41" s="99"/>
      <c r="D41" s="107"/>
      <c r="E41" s="97" t="s">
        <v>256</v>
      </c>
      <c r="F41" s="391"/>
      <c r="G41" s="392"/>
      <c r="H41" s="392"/>
      <c r="I41" s="393"/>
    </row>
    <row r="42" spans="1:9">
      <c r="A42" s="403"/>
      <c r="B42" s="94" t="s">
        <v>848</v>
      </c>
      <c r="C42" s="383"/>
      <c r="D42" s="383"/>
      <c r="E42" s="94"/>
      <c r="F42" s="400"/>
      <c r="G42" s="401"/>
      <c r="H42" s="401"/>
      <c r="I42" s="402"/>
    </row>
    <row r="43" spans="1:9">
      <c r="A43" s="403"/>
      <c r="B43" s="94" t="s">
        <v>379</v>
      </c>
      <c r="C43" s="383"/>
      <c r="D43" s="383"/>
      <c r="E43" s="383"/>
      <c r="F43" s="394"/>
      <c r="G43" s="395"/>
      <c r="H43" s="395"/>
      <c r="I43" s="396"/>
    </row>
    <row r="44" spans="1:9">
      <c r="A44" s="94"/>
      <c r="B44" s="94"/>
      <c r="C44" s="94"/>
      <c r="D44" s="94"/>
      <c r="E44" s="94"/>
      <c r="F44" s="94"/>
      <c r="G44" s="94"/>
      <c r="H44" s="94"/>
      <c r="I44" s="94"/>
    </row>
    <row r="45" spans="1:9" ht="15.75" customHeight="1">
      <c r="A45" s="376" t="s">
        <v>273</v>
      </c>
      <c r="B45" s="382" t="s">
        <v>273</v>
      </c>
      <c r="C45" s="382"/>
      <c r="D45" s="382"/>
      <c r="E45" s="382"/>
      <c r="F45" s="382"/>
      <c r="G45" s="382"/>
      <c r="H45" s="382"/>
      <c r="I45" s="382"/>
    </row>
    <row r="46" spans="1:9" ht="15">
      <c r="A46" s="377"/>
      <c r="B46" s="343" t="s">
        <v>274</v>
      </c>
      <c r="C46" s="383"/>
      <c r="D46" s="383"/>
      <c r="E46" s="97" t="s">
        <v>410</v>
      </c>
      <c r="F46" s="109"/>
      <c r="G46" s="97" t="s">
        <v>411</v>
      </c>
      <c r="H46" s="109"/>
      <c r="I46" s="94"/>
    </row>
    <row r="47" spans="1:9" ht="15">
      <c r="A47" s="377"/>
      <c r="B47" s="343" t="s">
        <v>264</v>
      </c>
      <c r="C47" s="383"/>
      <c r="D47" s="383"/>
      <c r="E47" s="397" t="s">
        <v>626</v>
      </c>
      <c r="F47" s="397"/>
      <c r="G47" s="397"/>
      <c r="H47" s="397"/>
      <c r="I47" s="397"/>
    </row>
    <row r="48" spans="1:9">
      <c r="A48" s="377"/>
      <c r="B48" s="94" t="s">
        <v>299</v>
      </c>
      <c r="C48" s="110">
        <f>$C$23+$E$23+$G$23</f>
        <v>0</v>
      </c>
      <c r="D48" s="94" t="s">
        <v>414</v>
      </c>
      <c r="E48" s="397" t="s">
        <v>626</v>
      </c>
      <c r="F48" s="397"/>
      <c r="G48" s="397"/>
      <c r="H48" s="397"/>
      <c r="I48" s="397"/>
    </row>
    <row r="49" spans="1:9">
      <c r="A49" s="377"/>
      <c r="B49" s="94" t="s">
        <v>294</v>
      </c>
      <c r="C49" s="107" t="str">
        <f>IF(C46="","",IF(C46="Beach Bar","No",IF(C46="Piano Bar","No","Yes")))</f>
        <v/>
      </c>
      <c r="D49" s="94"/>
      <c r="E49" s="397" t="s">
        <v>626</v>
      </c>
      <c r="F49" s="397"/>
      <c r="G49" s="397"/>
      <c r="H49" s="397"/>
      <c r="I49" s="397"/>
    </row>
    <row r="50" spans="1:9">
      <c r="A50" s="377"/>
      <c r="B50" s="94" t="s">
        <v>295</v>
      </c>
      <c r="C50" s="383"/>
      <c r="D50" s="383"/>
      <c r="E50" s="397" t="s">
        <v>627</v>
      </c>
      <c r="F50" s="397"/>
      <c r="G50" s="397"/>
      <c r="H50" s="397"/>
      <c r="I50" s="397"/>
    </row>
    <row r="51" spans="1:9" ht="15.75" customHeight="1">
      <c r="A51" s="377"/>
      <c r="B51" s="94" t="s">
        <v>641</v>
      </c>
      <c r="C51" s="391"/>
      <c r="D51" s="393"/>
      <c r="E51" s="397" t="s">
        <v>627</v>
      </c>
      <c r="F51" s="397"/>
      <c r="G51" s="397"/>
      <c r="H51" s="397"/>
      <c r="I51" s="397"/>
    </row>
    <row r="52" spans="1:9">
      <c r="A52" s="377"/>
      <c r="B52" s="94"/>
      <c r="C52" s="394"/>
      <c r="D52" s="396"/>
      <c r="E52" s="397" t="s">
        <v>627</v>
      </c>
      <c r="F52" s="397"/>
      <c r="G52" s="397"/>
      <c r="H52" s="397"/>
      <c r="I52" s="397"/>
    </row>
    <row r="53" spans="1:9" ht="39" customHeight="1">
      <c r="A53" s="377"/>
      <c r="B53" s="94" t="s">
        <v>632</v>
      </c>
      <c r="C53" s="390"/>
      <c r="D53" s="390"/>
      <c r="E53" s="390"/>
      <c r="F53" s="390"/>
      <c r="G53" s="390"/>
      <c r="H53" s="390"/>
      <c r="I53" s="390"/>
    </row>
    <row r="54" spans="1:9">
      <c r="A54" s="377"/>
      <c r="B54" s="94"/>
      <c r="C54" s="94"/>
      <c r="D54" s="94"/>
      <c r="E54" s="107" t="s">
        <v>298</v>
      </c>
      <c r="F54" s="94" t="s">
        <v>99</v>
      </c>
      <c r="G54" s="94"/>
      <c r="H54" s="94"/>
      <c r="I54" s="94"/>
    </row>
    <row r="55" spans="1:9" ht="15">
      <c r="A55" s="377"/>
      <c r="B55" s="343" t="s">
        <v>642</v>
      </c>
      <c r="C55" s="383"/>
      <c r="D55" s="383"/>
      <c r="E55" s="107">
        <v>1</v>
      </c>
      <c r="F55" s="391"/>
      <c r="G55" s="392"/>
      <c r="H55" s="392"/>
      <c r="I55" s="393"/>
    </row>
    <row r="56" spans="1:9">
      <c r="A56" s="377"/>
      <c r="B56" s="94" t="s">
        <v>297</v>
      </c>
      <c r="C56" s="389" t="str">
        <f>IF(E56&gt;0, C55&amp;" (extra guests)", "")</f>
        <v/>
      </c>
      <c r="D56" s="389"/>
      <c r="E56" s="110">
        <f>IF(($C$23+$E$23+$G$23+$I$23)&lt;=40,0,($C$23+$E$23+$G$23+$I$23)-40)</f>
        <v>0</v>
      </c>
      <c r="F56" s="400"/>
      <c r="G56" s="401"/>
      <c r="H56" s="401"/>
      <c r="I56" s="402"/>
    </row>
    <row r="57" spans="1:9">
      <c r="A57" s="378"/>
      <c r="B57" s="94"/>
      <c r="C57" s="107"/>
      <c r="D57" s="107"/>
      <c r="E57" s="110"/>
      <c r="F57" s="394"/>
      <c r="G57" s="395"/>
      <c r="H57" s="395"/>
      <c r="I57" s="396"/>
    </row>
    <row r="58" spans="1:9">
      <c r="A58" s="94"/>
      <c r="B58" s="94"/>
      <c r="C58" s="94"/>
      <c r="D58" s="94"/>
      <c r="E58" s="94"/>
      <c r="F58" s="94"/>
      <c r="G58" s="94"/>
      <c r="H58" s="94"/>
      <c r="I58" s="94"/>
    </row>
    <row r="59" spans="1:9">
      <c r="A59" s="376" t="s">
        <v>304</v>
      </c>
      <c r="B59" s="382" t="s">
        <v>304</v>
      </c>
      <c r="C59" s="382"/>
      <c r="D59" s="382"/>
      <c r="E59" s="382"/>
      <c r="F59" s="382"/>
      <c r="G59" s="382"/>
      <c r="H59" s="382"/>
      <c r="I59" s="382"/>
    </row>
    <row r="60" spans="1:9">
      <c r="A60" s="377"/>
      <c r="B60" s="94" t="s">
        <v>673</v>
      </c>
      <c r="C60" s="94"/>
      <c r="D60" s="94"/>
      <c r="E60" s="94"/>
      <c r="F60" s="94"/>
      <c r="G60" s="94"/>
      <c r="H60" s="94"/>
      <c r="I60" s="94"/>
    </row>
    <row r="61" spans="1:9" ht="15">
      <c r="A61" s="377"/>
      <c r="B61" s="343" t="s">
        <v>643</v>
      </c>
      <c r="C61" s="383"/>
      <c r="D61" s="383"/>
      <c r="E61" s="383"/>
      <c r="F61" s="97" t="s">
        <v>410</v>
      </c>
      <c r="G61" s="111" t="s">
        <v>564</v>
      </c>
      <c r="H61" s="94"/>
      <c r="I61" s="94"/>
    </row>
    <row r="62" spans="1:9">
      <c r="A62" s="377"/>
      <c r="B62" s="94" t="s">
        <v>264</v>
      </c>
      <c r="C62" s="383"/>
      <c r="D62" s="383"/>
      <c r="E62" s="94"/>
      <c r="F62" s="94"/>
      <c r="G62" s="94"/>
      <c r="H62" s="94"/>
      <c r="I62" s="94"/>
    </row>
    <row r="63" spans="1:9">
      <c r="A63" s="377"/>
      <c r="B63" s="94" t="s">
        <v>641</v>
      </c>
      <c r="C63" s="388"/>
      <c r="D63" s="388"/>
      <c r="E63" s="388"/>
      <c r="F63" s="388"/>
      <c r="G63" s="388"/>
      <c r="H63" s="388"/>
      <c r="I63" s="388"/>
    </row>
    <row r="64" spans="1:9">
      <c r="A64" s="377"/>
      <c r="B64" s="94"/>
      <c r="C64" s="388"/>
      <c r="D64" s="388"/>
      <c r="E64" s="388"/>
      <c r="F64" s="388"/>
      <c r="G64" s="388"/>
      <c r="H64" s="388"/>
      <c r="I64" s="388"/>
    </row>
    <row r="65" spans="1:9">
      <c r="A65" s="377"/>
      <c r="B65" s="94"/>
      <c r="C65" s="94"/>
      <c r="D65" s="94"/>
      <c r="E65" s="94"/>
      <c r="F65" s="94"/>
      <c r="G65" s="94"/>
      <c r="H65" s="94"/>
      <c r="I65" s="94"/>
    </row>
    <row r="66" spans="1:9">
      <c r="A66" s="377"/>
      <c r="B66" s="94" t="s">
        <v>674</v>
      </c>
      <c r="C66" s="94"/>
      <c r="D66" s="94"/>
      <c r="E66" s="94"/>
      <c r="F66" s="94"/>
      <c r="G66" s="94"/>
      <c r="H66" s="94"/>
      <c r="I66" s="94"/>
    </row>
    <row r="67" spans="1:9" ht="15">
      <c r="A67" s="377"/>
      <c r="B67" s="343" t="s">
        <v>56</v>
      </c>
      <c r="C67" s="383"/>
      <c r="D67" s="383"/>
      <c r="E67" s="383"/>
      <c r="F67" s="97" t="s">
        <v>410</v>
      </c>
      <c r="G67" s="112"/>
      <c r="H67" s="97" t="s">
        <v>411</v>
      </c>
      <c r="I67" s="112"/>
    </row>
    <row r="68" spans="1:9">
      <c r="A68" s="377"/>
      <c r="B68" s="102" t="s">
        <v>235</v>
      </c>
      <c r="C68" s="110">
        <f>$C$23+$E$23</f>
        <v>0</v>
      </c>
      <c r="D68" s="110" t="s">
        <v>236</v>
      </c>
      <c r="E68" s="110">
        <f>$G$23</f>
        <v>0</v>
      </c>
      <c r="F68" s="113" t="s">
        <v>644</v>
      </c>
      <c r="G68" s="110">
        <f>SUM(I207:I208)</f>
        <v>0</v>
      </c>
      <c r="H68" s="97" t="s">
        <v>412</v>
      </c>
      <c r="I68" s="100">
        <f>MOD(I67-G67, 1)*24</f>
        <v>0</v>
      </c>
    </row>
    <row r="69" spans="1:9" ht="15">
      <c r="A69" s="377"/>
      <c r="B69" s="343" t="s">
        <v>385</v>
      </c>
      <c r="C69" s="383"/>
      <c r="D69" s="383"/>
      <c r="E69" s="383"/>
      <c r="F69" s="97" t="s">
        <v>99</v>
      </c>
      <c r="G69" s="384"/>
      <c r="H69" s="384"/>
      <c r="I69" s="384"/>
    </row>
    <row r="70" spans="1:9">
      <c r="A70" s="377"/>
      <c r="B70" s="94" t="s">
        <v>386</v>
      </c>
      <c r="C70" s="383"/>
      <c r="D70" s="383"/>
      <c r="E70" s="383"/>
      <c r="F70" s="384"/>
      <c r="G70" s="384"/>
      <c r="H70" s="384"/>
      <c r="I70" s="384"/>
    </row>
    <row r="71" spans="1:9">
      <c r="A71" s="377"/>
      <c r="B71" s="94"/>
      <c r="C71" s="373"/>
      <c r="D71" s="374"/>
      <c r="E71" s="375"/>
      <c r="F71" s="384"/>
      <c r="G71" s="384"/>
      <c r="H71" s="384"/>
      <c r="I71" s="384"/>
    </row>
    <row r="72" spans="1:9">
      <c r="A72" s="377"/>
      <c r="B72" s="94"/>
      <c r="C72" s="383"/>
      <c r="D72" s="383"/>
      <c r="E72" s="383"/>
      <c r="F72" s="384"/>
      <c r="G72" s="384"/>
      <c r="H72" s="384"/>
      <c r="I72" s="384"/>
    </row>
    <row r="73" spans="1:9">
      <c r="A73" s="377"/>
      <c r="B73" s="94"/>
      <c r="C73" s="383"/>
      <c r="D73" s="383"/>
      <c r="E73" s="383"/>
      <c r="F73" s="384"/>
      <c r="G73" s="384"/>
      <c r="H73" s="384"/>
      <c r="I73" s="384"/>
    </row>
    <row r="74" spans="1:9">
      <c r="A74" s="377"/>
      <c r="B74" s="94"/>
      <c r="C74" s="373"/>
      <c r="D74" s="374"/>
      <c r="E74" s="375"/>
      <c r="F74" s="384"/>
      <c r="G74" s="384"/>
      <c r="H74" s="384"/>
      <c r="I74" s="384"/>
    </row>
    <row r="75" spans="1:9">
      <c r="A75" s="377"/>
      <c r="B75" s="94"/>
      <c r="C75" s="383"/>
      <c r="D75" s="383"/>
      <c r="E75" s="383"/>
      <c r="F75" s="384"/>
      <c r="G75" s="384"/>
      <c r="H75" s="384"/>
      <c r="I75" s="384"/>
    </row>
    <row r="76" spans="1:9">
      <c r="A76" s="377"/>
      <c r="B76" s="94"/>
      <c r="C76" s="383"/>
      <c r="D76" s="383"/>
      <c r="E76" s="383"/>
      <c r="F76" s="384"/>
      <c r="G76" s="384"/>
      <c r="H76" s="384"/>
      <c r="I76" s="384"/>
    </row>
    <row r="77" spans="1:9">
      <c r="A77" s="377"/>
      <c r="B77" s="410" t="s">
        <v>645</v>
      </c>
      <c r="C77" s="412"/>
      <c r="D77" s="390"/>
      <c r="E77" s="390"/>
      <c r="F77" s="390"/>
      <c r="G77" s="390"/>
      <c r="H77" s="390"/>
      <c r="I77" s="390"/>
    </row>
    <row r="78" spans="1:9">
      <c r="A78" s="377"/>
      <c r="B78" s="94"/>
      <c r="C78" s="94"/>
      <c r="D78" s="390"/>
      <c r="E78" s="390"/>
      <c r="F78" s="390"/>
      <c r="G78" s="390"/>
      <c r="H78" s="390"/>
      <c r="I78" s="390"/>
    </row>
    <row r="79" spans="1:9">
      <c r="A79" s="377"/>
      <c r="B79" s="94"/>
      <c r="C79" s="94"/>
      <c r="D79" s="94"/>
      <c r="E79" s="94"/>
      <c r="F79" s="94"/>
      <c r="G79" s="94"/>
      <c r="H79" s="94"/>
      <c r="I79" s="94"/>
    </row>
    <row r="80" spans="1:9" ht="15">
      <c r="A80" s="377"/>
      <c r="B80" s="343" t="s">
        <v>331</v>
      </c>
      <c r="C80" s="94"/>
      <c r="D80" s="94"/>
      <c r="E80" s="94"/>
      <c r="F80" s="94"/>
      <c r="G80" s="94"/>
      <c r="H80" s="94"/>
      <c r="I80" s="94"/>
    </row>
    <row r="81" spans="1:9">
      <c r="A81" s="377"/>
      <c r="B81" s="94" t="s">
        <v>332</v>
      </c>
      <c r="C81" s="107" t="s">
        <v>333</v>
      </c>
      <c r="D81" s="107" t="s">
        <v>334</v>
      </c>
      <c r="E81" s="398" t="s">
        <v>48</v>
      </c>
      <c r="F81" s="398"/>
      <c r="G81" s="94" t="s">
        <v>99</v>
      </c>
      <c r="H81" s="94"/>
      <c r="I81" s="94"/>
    </row>
    <row r="82" spans="1:9">
      <c r="A82" s="377"/>
      <c r="B82" s="94" t="s">
        <v>646</v>
      </c>
      <c r="C82" s="99"/>
      <c r="D82" s="99"/>
      <c r="E82" s="398"/>
      <c r="F82" s="398"/>
      <c r="G82" s="391"/>
      <c r="H82" s="392"/>
      <c r="I82" s="393"/>
    </row>
    <row r="83" spans="1:9">
      <c r="A83" s="377"/>
      <c r="B83" s="94" t="s">
        <v>647</v>
      </c>
      <c r="C83" s="99"/>
      <c r="D83" s="99"/>
      <c r="E83" s="398"/>
      <c r="F83" s="398"/>
      <c r="G83" s="400"/>
      <c r="H83" s="401"/>
      <c r="I83" s="402"/>
    </row>
    <row r="84" spans="1:9">
      <c r="A84" s="377"/>
      <c r="B84" s="94" t="s">
        <v>648</v>
      </c>
      <c r="C84" s="99"/>
      <c r="D84" s="99"/>
      <c r="E84" s="398"/>
      <c r="F84" s="398"/>
      <c r="G84" s="400"/>
      <c r="H84" s="401"/>
      <c r="I84" s="402"/>
    </row>
    <row r="85" spans="1:9">
      <c r="A85" s="377"/>
      <c r="B85" s="94" t="s">
        <v>649</v>
      </c>
      <c r="C85" s="384"/>
      <c r="D85" s="384"/>
      <c r="E85" s="398"/>
      <c r="F85" s="398"/>
      <c r="G85" s="400"/>
      <c r="H85" s="401"/>
      <c r="I85" s="402"/>
    </row>
    <row r="86" spans="1:9">
      <c r="A86" s="377"/>
      <c r="B86" s="94" t="s">
        <v>650</v>
      </c>
      <c r="C86" s="99"/>
      <c r="D86" s="94"/>
      <c r="E86" s="398"/>
      <c r="F86" s="398"/>
      <c r="G86" s="394"/>
      <c r="H86" s="395"/>
      <c r="I86" s="396"/>
    </row>
    <row r="87" spans="1:9">
      <c r="A87" s="377"/>
      <c r="B87" s="94"/>
      <c r="C87" s="94"/>
      <c r="D87" s="94"/>
      <c r="E87" s="94"/>
      <c r="F87" s="94"/>
      <c r="G87" s="94"/>
      <c r="H87" s="94"/>
      <c r="I87" s="94"/>
    </row>
    <row r="88" spans="1:9" ht="15">
      <c r="A88" s="377"/>
      <c r="B88" s="343" t="s">
        <v>346</v>
      </c>
      <c r="C88" s="94"/>
      <c r="D88" s="94"/>
      <c r="E88" s="107" t="s">
        <v>298</v>
      </c>
      <c r="F88" s="94"/>
      <c r="G88" s="94"/>
      <c r="H88" s="94"/>
      <c r="I88" s="94"/>
    </row>
    <row r="89" spans="1:9">
      <c r="A89" s="377"/>
      <c r="B89" s="94" t="s">
        <v>55</v>
      </c>
      <c r="C89" s="383"/>
      <c r="D89" s="383"/>
      <c r="E89" s="110">
        <v>1</v>
      </c>
      <c r="F89" s="97" t="s">
        <v>651</v>
      </c>
      <c r="G89" s="384"/>
      <c r="H89" s="384"/>
      <c r="I89" s="384"/>
    </row>
    <row r="90" spans="1:9">
      <c r="A90" s="377"/>
      <c r="B90" s="94" t="s">
        <v>296</v>
      </c>
      <c r="C90" s="389" t="str">
        <f>IFERROR(IF(E90&gt;0,LEFT(C89,SEARCH(" (",C89)-1)&amp;" (extra guests)",""),"")</f>
        <v/>
      </c>
      <c r="D90" s="389"/>
      <c r="E90" s="110">
        <f>IF(($C$23+$E$23+$G$23+$I$23)&lt;=40,0,($C$23+$E$23+$G$23+$I$23)-40)</f>
        <v>0</v>
      </c>
      <c r="F90" s="97" t="s">
        <v>638</v>
      </c>
      <c r="G90" s="384"/>
      <c r="H90" s="384"/>
      <c r="I90" s="384"/>
    </row>
    <row r="91" spans="1:9">
      <c r="A91" s="377"/>
      <c r="B91" s="94" t="s">
        <v>330</v>
      </c>
      <c r="C91" s="99"/>
      <c r="D91" s="107"/>
      <c r="E91" s="102"/>
      <c r="F91" s="97" t="s">
        <v>652</v>
      </c>
      <c r="G91" s="384"/>
      <c r="H91" s="384"/>
      <c r="I91" s="384"/>
    </row>
    <row r="92" spans="1:9">
      <c r="A92" s="377"/>
      <c r="B92" s="94" t="s">
        <v>257</v>
      </c>
      <c r="C92" s="383"/>
      <c r="D92" s="383"/>
      <c r="E92" s="94"/>
      <c r="F92" s="97" t="s">
        <v>653</v>
      </c>
      <c r="G92" s="384"/>
      <c r="H92" s="384"/>
      <c r="I92" s="384"/>
    </row>
    <row r="93" spans="1:9">
      <c r="A93" s="377"/>
      <c r="B93" s="94"/>
      <c r="C93" s="107"/>
      <c r="D93" s="107"/>
      <c r="E93" s="94"/>
      <c r="F93" s="97" t="s">
        <v>654</v>
      </c>
      <c r="G93" s="384"/>
      <c r="H93" s="384"/>
      <c r="I93" s="384"/>
    </row>
    <row r="94" spans="1:9">
      <c r="A94" s="377"/>
      <c r="B94" s="94" t="s">
        <v>262</v>
      </c>
      <c r="C94" s="390"/>
      <c r="D94" s="398"/>
      <c r="E94" s="398"/>
      <c r="F94" s="398"/>
      <c r="G94" s="398"/>
      <c r="H94" s="398"/>
      <c r="I94" s="398"/>
    </row>
    <row r="95" spans="1:9">
      <c r="A95" s="377"/>
      <c r="B95" s="94"/>
      <c r="C95" s="398"/>
      <c r="D95" s="398"/>
      <c r="E95" s="398"/>
      <c r="F95" s="398"/>
      <c r="G95" s="398"/>
      <c r="H95" s="398"/>
      <c r="I95" s="398"/>
    </row>
    <row r="96" spans="1:9">
      <c r="A96" s="377"/>
      <c r="B96" s="94"/>
      <c r="C96" s="398"/>
      <c r="D96" s="398"/>
      <c r="E96" s="398"/>
      <c r="F96" s="398"/>
      <c r="G96" s="398"/>
      <c r="H96" s="398"/>
      <c r="I96" s="398"/>
    </row>
    <row r="97" spans="1:9">
      <c r="A97" s="377"/>
      <c r="B97" s="94"/>
      <c r="C97" s="94"/>
      <c r="D97" s="94"/>
      <c r="E97" s="94"/>
      <c r="F97" s="94"/>
      <c r="G97" s="94"/>
      <c r="H97" s="94"/>
      <c r="I97" s="94"/>
    </row>
    <row r="98" spans="1:9">
      <c r="A98" s="377"/>
      <c r="B98" s="94" t="s">
        <v>655</v>
      </c>
      <c r="C98" s="99"/>
      <c r="D98" s="107"/>
      <c r="E98" s="97" t="s">
        <v>256</v>
      </c>
      <c r="F98" s="390"/>
      <c r="G98" s="398"/>
      <c r="H98" s="398"/>
      <c r="I98" s="398"/>
    </row>
    <row r="99" spans="1:9">
      <c r="A99" s="377"/>
      <c r="B99" s="94" t="s">
        <v>848</v>
      </c>
      <c r="C99" s="383"/>
      <c r="D99" s="383"/>
      <c r="E99" s="94"/>
      <c r="F99" s="398"/>
      <c r="G99" s="398"/>
      <c r="H99" s="398"/>
      <c r="I99" s="398"/>
    </row>
    <row r="100" spans="1:9">
      <c r="A100" s="377"/>
      <c r="B100" s="94"/>
      <c r="C100" s="107" t="s">
        <v>298</v>
      </c>
      <c r="D100" s="94"/>
      <c r="E100" s="94"/>
      <c r="F100" s="398"/>
      <c r="G100" s="398"/>
      <c r="H100" s="398"/>
      <c r="I100" s="398"/>
    </row>
    <row r="101" spans="1:9">
      <c r="A101" s="377"/>
      <c r="B101" s="94" t="s">
        <v>656</v>
      </c>
      <c r="C101" s="99"/>
      <c r="D101" s="94"/>
      <c r="E101" s="94"/>
      <c r="F101" s="398"/>
      <c r="G101" s="398"/>
      <c r="H101" s="398"/>
      <c r="I101" s="398"/>
    </row>
    <row r="102" spans="1:9">
      <c r="A102" s="377"/>
      <c r="B102" s="94" t="s">
        <v>657</v>
      </c>
      <c r="C102" s="104"/>
      <c r="D102" s="94"/>
      <c r="E102" s="94"/>
      <c r="F102" s="398"/>
      <c r="G102" s="398"/>
      <c r="H102" s="398"/>
      <c r="I102" s="398"/>
    </row>
    <row r="103" spans="1:9">
      <c r="A103" s="377"/>
      <c r="B103" s="94"/>
      <c r="C103" s="94"/>
      <c r="D103" s="94"/>
      <c r="E103" s="94"/>
      <c r="F103" s="398"/>
      <c r="G103" s="398"/>
      <c r="H103" s="398"/>
      <c r="I103" s="398"/>
    </row>
    <row r="104" spans="1:9">
      <c r="A104" s="377"/>
      <c r="B104" s="94"/>
      <c r="C104" s="94"/>
      <c r="D104" s="94"/>
      <c r="E104" s="94"/>
      <c r="F104" s="94"/>
      <c r="G104" s="94"/>
      <c r="H104" s="94"/>
      <c r="I104" s="94"/>
    </row>
    <row r="105" spans="1:9" ht="15">
      <c r="A105" s="377"/>
      <c r="B105" s="343" t="s">
        <v>347</v>
      </c>
      <c r="C105" s="94"/>
      <c r="D105" s="94"/>
      <c r="E105" s="94"/>
      <c r="F105" s="94"/>
      <c r="G105" s="94"/>
      <c r="H105" s="94"/>
      <c r="I105" s="94"/>
    </row>
    <row r="106" spans="1:9">
      <c r="A106" s="377"/>
      <c r="B106" s="94" t="s">
        <v>348</v>
      </c>
      <c r="C106" s="383"/>
      <c r="D106" s="383"/>
      <c r="E106" s="97" t="s">
        <v>352</v>
      </c>
      <c r="F106" s="99"/>
      <c r="G106" s="97" t="s">
        <v>631</v>
      </c>
      <c r="H106" s="383"/>
      <c r="I106" s="383"/>
    </row>
    <row r="107" spans="1:9">
      <c r="A107" s="377"/>
      <c r="B107" s="94" t="s">
        <v>350</v>
      </c>
      <c r="C107" s="383"/>
      <c r="D107" s="383"/>
      <c r="E107" s="413" t="s">
        <v>404</v>
      </c>
      <c r="F107" s="414"/>
      <c r="G107" s="383"/>
      <c r="H107" s="383"/>
      <c r="I107" s="383"/>
    </row>
    <row r="108" spans="1:9">
      <c r="A108" s="377"/>
      <c r="B108" s="94" t="s">
        <v>658</v>
      </c>
      <c r="C108" s="99"/>
      <c r="D108" s="107"/>
      <c r="E108" s="413" t="s">
        <v>405</v>
      </c>
      <c r="F108" s="414"/>
      <c r="G108" s="99"/>
      <c r="H108" s="94"/>
      <c r="I108" s="94"/>
    </row>
    <row r="109" spans="1:9">
      <c r="A109" s="377"/>
      <c r="B109" s="94" t="s">
        <v>99</v>
      </c>
      <c r="C109" s="390"/>
      <c r="D109" s="390"/>
      <c r="E109" s="390"/>
      <c r="F109" s="390"/>
      <c r="G109" s="390"/>
      <c r="H109" s="390"/>
      <c r="I109" s="390"/>
    </row>
    <row r="110" spans="1:9">
      <c r="A110" s="377"/>
      <c r="B110" s="94"/>
      <c r="C110" s="390"/>
      <c r="D110" s="390"/>
      <c r="E110" s="390"/>
      <c r="F110" s="390"/>
      <c r="G110" s="390"/>
      <c r="H110" s="390"/>
      <c r="I110" s="390"/>
    </row>
    <row r="111" spans="1:9">
      <c r="A111" s="377"/>
      <c r="B111" s="94" t="s">
        <v>659</v>
      </c>
      <c r="C111" s="383"/>
      <c r="D111" s="383"/>
      <c r="E111" s="97" t="s">
        <v>632</v>
      </c>
      <c r="F111" s="383"/>
      <c r="G111" s="383"/>
      <c r="H111" s="94"/>
      <c r="I111" s="94"/>
    </row>
    <row r="112" spans="1:9">
      <c r="A112" s="377"/>
      <c r="B112" s="94" t="s">
        <v>660</v>
      </c>
      <c r="C112" s="383"/>
      <c r="D112" s="383"/>
      <c r="E112" s="97" t="s">
        <v>640</v>
      </c>
      <c r="F112" s="383"/>
      <c r="G112" s="383"/>
      <c r="H112" s="94"/>
      <c r="I112" s="94"/>
    </row>
    <row r="113" spans="1:9">
      <c r="A113" s="377"/>
      <c r="B113" s="94" t="s">
        <v>99</v>
      </c>
      <c r="C113" s="390"/>
      <c r="D113" s="390"/>
      <c r="E113" s="390"/>
      <c r="F113" s="390"/>
      <c r="G113" s="390"/>
      <c r="H113" s="390"/>
      <c r="I113" s="390"/>
    </row>
    <row r="114" spans="1:9">
      <c r="A114" s="377"/>
      <c r="B114" s="94"/>
      <c r="C114" s="390"/>
      <c r="D114" s="390"/>
      <c r="E114" s="390"/>
      <c r="F114" s="390"/>
      <c r="G114" s="390"/>
      <c r="H114" s="390"/>
      <c r="I114" s="390"/>
    </row>
    <row r="115" spans="1:9">
      <c r="A115" s="377"/>
      <c r="B115" s="94"/>
      <c r="C115" s="390"/>
      <c r="D115" s="390"/>
      <c r="E115" s="390"/>
      <c r="F115" s="390"/>
      <c r="G115" s="390"/>
      <c r="H115" s="390"/>
      <c r="I115" s="390"/>
    </row>
    <row r="116" spans="1:9">
      <c r="A116" s="377"/>
      <c r="B116" s="94" t="s">
        <v>362</v>
      </c>
      <c r="C116" s="383"/>
      <c r="D116" s="383"/>
      <c r="E116" s="383"/>
      <c r="F116" s="97" t="s">
        <v>363</v>
      </c>
      <c r="G116" s="383"/>
      <c r="H116" s="383"/>
      <c r="I116" s="383"/>
    </row>
    <row r="117" spans="1:9">
      <c r="A117" s="377"/>
      <c r="B117" s="94" t="s">
        <v>58</v>
      </c>
      <c r="C117" s="383"/>
      <c r="D117" s="383"/>
      <c r="E117" s="94"/>
      <c r="F117" s="413" t="s">
        <v>634</v>
      </c>
      <c r="G117" s="414"/>
      <c r="H117" s="99"/>
      <c r="I117" s="94"/>
    </row>
    <row r="118" spans="1:9">
      <c r="A118" s="377"/>
      <c r="B118" s="94" t="s">
        <v>633</v>
      </c>
      <c r="C118" s="114"/>
      <c r="D118" s="94"/>
      <c r="E118" s="94"/>
      <c r="F118" s="97" t="s">
        <v>379</v>
      </c>
      <c r="G118" s="383"/>
      <c r="H118" s="383"/>
      <c r="I118" s="383"/>
    </row>
    <row r="119" spans="1:9">
      <c r="A119" s="377"/>
      <c r="B119" s="94" t="s">
        <v>99</v>
      </c>
      <c r="C119" s="390"/>
      <c r="D119" s="390"/>
      <c r="E119" s="390"/>
      <c r="F119" s="390"/>
      <c r="G119" s="390"/>
      <c r="H119" s="390"/>
      <c r="I119" s="390"/>
    </row>
    <row r="120" spans="1:9">
      <c r="A120" s="377"/>
      <c r="B120" s="94"/>
      <c r="C120" s="390"/>
      <c r="D120" s="390"/>
      <c r="E120" s="390"/>
      <c r="F120" s="390"/>
      <c r="G120" s="390"/>
      <c r="H120" s="390"/>
      <c r="I120" s="390"/>
    </row>
    <row r="121" spans="1:9">
      <c r="A121" s="377"/>
      <c r="B121" s="94"/>
      <c r="C121" s="94"/>
      <c r="D121" s="94"/>
      <c r="E121" s="94"/>
      <c r="F121" s="94"/>
      <c r="G121" s="94"/>
      <c r="H121" s="94"/>
      <c r="I121" s="94"/>
    </row>
    <row r="122" spans="1:9" ht="15.75" customHeight="1">
      <c r="A122" s="377"/>
      <c r="B122" s="94" t="s">
        <v>364</v>
      </c>
      <c r="C122" s="391"/>
      <c r="D122" s="392"/>
      <c r="E122" s="392"/>
      <c r="F122" s="392"/>
      <c r="G122" s="392"/>
      <c r="H122" s="392"/>
      <c r="I122" s="393"/>
    </row>
    <row r="123" spans="1:9">
      <c r="A123" s="377"/>
      <c r="B123" s="94"/>
      <c r="C123" s="400"/>
      <c r="D123" s="401"/>
      <c r="E123" s="401"/>
      <c r="F123" s="401"/>
      <c r="G123" s="401"/>
      <c r="H123" s="401"/>
      <c r="I123" s="402"/>
    </row>
    <row r="124" spans="1:9">
      <c r="A124" s="377"/>
      <c r="B124" s="94"/>
      <c r="C124" s="400"/>
      <c r="D124" s="401"/>
      <c r="E124" s="401"/>
      <c r="F124" s="401"/>
      <c r="G124" s="401"/>
      <c r="H124" s="401"/>
      <c r="I124" s="402"/>
    </row>
    <row r="125" spans="1:9">
      <c r="A125" s="377"/>
      <c r="B125" s="94"/>
      <c r="C125" s="400"/>
      <c r="D125" s="401"/>
      <c r="E125" s="401"/>
      <c r="F125" s="401"/>
      <c r="G125" s="401"/>
      <c r="H125" s="401"/>
      <c r="I125" s="402"/>
    </row>
    <row r="126" spans="1:9">
      <c r="A126" s="377"/>
      <c r="B126" s="94"/>
      <c r="C126" s="400"/>
      <c r="D126" s="401"/>
      <c r="E126" s="401"/>
      <c r="F126" s="401"/>
      <c r="G126" s="401"/>
      <c r="H126" s="401"/>
      <c r="I126" s="402"/>
    </row>
    <row r="127" spans="1:9">
      <c r="A127" s="377"/>
      <c r="B127" s="94"/>
      <c r="C127" s="400"/>
      <c r="D127" s="401"/>
      <c r="E127" s="401"/>
      <c r="F127" s="401"/>
      <c r="G127" s="401"/>
      <c r="H127" s="401"/>
      <c r="I127" s="402"/>
    </row>
    <row r="128" spans="1:9">
      <c r="A128" s="378"/>
      <c r="B128" s="94"/>
      <c r="C128" s="394"/>
      <c r="D128" s="395"/>
      <c r="E128" s="395"/>
      <c r="F128" s="395"/>
      <c r="G128" s="395"/>
      <c r="H128" s="395"/>
      <c r="I128" s="396"/>
    </row>
    <row r="129" spans="1:9">
      <c r="A129" s="94"/>
      <c r="B129" s="94"/>
      <c r="C129" s="94"/>
      <c r="D129" s="94"/>
      <c r="E129" s="94"/>
      <c r="F129" s="94"/>
      <c r="G129" s="94"/>
      <c r="H129" s="94"/>
      <c r="I129" s="94"/>
    </row>
    <row r="130" spans="1:9">
      <c r="A130" s="94"/>
      <c r="B130" s="418" t="s">
        <v>849</v>
      </c>
      <c r="C130" s="418"/>
      <c r="D130" s="418"/>
      <c r="E130" s="418"/>
      <c r="F130" s="418"/>
      <c r="G130" s="418"/>
      <c r="H130" s="418"/>
      <c r="I130" s="418"/>
    </row>
    <row r="131" spans="1:9">
      <c r="A131" s="379"/>
      <c r="B131" s="94" t="s">
        <v>365</v>
      </c>
      <c r="C131" s="94"/>
      <c r="D131" s="94"/>
      <c r="E131" s="94"/>
      <c r="F131" s="97" t="s">
        <v>380</v>
      </c>
      <c r="G131" s="105" t="s">
        <v>605</v>
      </c>
      <c r="H131" s="94"/>
      <c r="I131" s="94"/>
    </row>
    <row r="132" spans="1:9">
      <c r="A132" s="380"/>
      <c r="B132" s="94" t="s">
        <v>66</v>
      </c>
      <c r="C132" s="383"/>
      <c r="D132" s="383"/>
      <c r="E132" s="97" t="s">
        <v>410</v>
      </c>
      <c r="F132" s="115" t="s">
        <v>564</v>
      </c>
      <c r="G132" s="94"/>
      <c r="H132" s="94"/>
      <c r="I132" s="94"/>
    </row>
    <row r="133" spans="1:9">
      <c r="A133" s="380"/>
      <c r="B133" s="94" t="s">
        <v>300</v>
      </c>
      <c r="C133" s="385"/>
      <c r="D133" s="386"/>
      <c r="E133" s="386"/>
      <c r="F133" s="386"/>
      <c r="G133" s="386"/>
      <c r="H133" s="386"/>
      <c r="I133" s="387"/>
    </row>
    <row r="134" spans="1:9">
      <c r="A134" s="381"/>
      <c r="B134" s="94" t="s">
        <v>301</v>
      </c>
      <c r="C134" s="388"/>
      <c r="D134" s="388"/>
      <c r="E134" s="388"/>
      <c r="F134" s="388"/>
      <c r="G134" s="388"/>
      <c r="H134" s="388"/>
      <c r="I134" s="388"/>
    </row>
    <row r="135" spans="1:9">
      <c r="A135" s="94"/>
      <c r="B135" s="94"/>
      <c r="C135" s="94"/>
      <c r="D135" s="94"/>
      <c r="E135" s="94"/>
      <c r="F135" s="94"/>
      <c r="G135" s="94"/>
      <c r="H135" s="94"/>
      <c r="I135" s="94"/>
    </row>
    <row r="136" spans="1:9">
      <c r="A136" s="379"/>
      <c r="B136" s="94" t="s">
        <v>366</v>
      </c>
      <c r="C136" s="94"/>
      <c r="D136" s="94"/>
      <c r="E136" s="94"/>
      <c r="F136" s="97" t="s">
        <v>380</v>
      </c>
      <c r="G136" s="105" t="s">
        <v>605</v>
      </c>
      <c r="H136" s="94"/>
      <c r="I136" s="94"/>
    </row>
    <row r="137" spans="1:9" ht="15">
      <c r="A137" s="380"/>
      <c r="B137" s="343" t="s">
        <v>56</v>
      </c>
      <c r="C137" s="383"/>
      <c r="D137" s="383"/>
      <c r="E137" s="97" t="s">
        <v>410</v>
      </c>
      <c r="F137" s="109"/>
      <c r="G137" s="97" t="s">
        <v>411</v>
      </c>
      <c r="H137" s="109"/>
      <c r="I137" s="94"/>
    </row>
    <row r="138" spans="1:9" ht="15">
      <c r="A138" s="380"/>
      <c r="B138" s="343" t="s">
        <v>264</v>
      </c>
      <c r="C138" s="116"/>
      <c r="D138" s="97" t="s">
        <v>276</v>
      </c>
      <c r="E138" s="397" t="s">
        <v>626</v>
      </c>
      <c r="F138" s="397"/>
      <c r="G138" s="397"/>
      <c r="H138" s="397"/>
      <c r="I138" s="397"/>
    </row>
    <row r="139" spans="1:9">
      <c r="A139" s="380"/>
      <c r="B139" s="94" t="s">
        <v>299</v>
      </c>
      <c r="C139" s="110">
        <f>$C$23+$E$23+$G$23</f>
        <v>0</v>
      </c>
      <c r="D139" s="94"/>
      <c r="E139" s="397" t="s">
        <v>626</v>
      </c>
      <c r="F139" s="397"/>
      <c r="G139" s="397"/>
      <c r="H139" s="397"/>
      <c r="I139" s="397"/>
    </row>
    <row r="140" spans="1:9">
      <c r="A140" s="380"/>
      <c r="B140" s="94" t="s">
        <v>641</v>
      </c>
      <c r="C140" s="390"/>
      <c r="D140" s="390"/>
      <c r="E140" s="397" t="s">
        <v>626</v>
      </c>
      <c r="F140" s="397"/>
      <c r="G140" s="397"/>
      <c r="H140" s="397"/>
      <c r="I140" s="397"/>
    </row>
    <row r="141" spans="1:9">
      <c r="A141" s="380"/>
      <c r="B141" s="94"/>
      <c r="C141" s="390"/>
      <c r="D141" s="390"/>
      <c r="E141" s="397" t="s">
        <v>627</v>
      </c>
      <c r="F141" s="397"/>
      <c r="G141" s="397"/>
      <c r="H141" s="397"/>
      <c r="I141" s="397"/>
    </row>
    <row r="142" spans="1:9">
      <c r="A142" s="380"/>
      <c r="B142" s="94"/>
      <c r="C142" s="390"/>
      <c r="D142" s="390"/>
      <c r="E142" s="397" t="s">
        <v>627</v>
      </c>
      <c r="F142" s="397"/>
      <c r="G142" s="397"/>
      <c r="H142" s="397"/>
      <c r="I142" s="397"/>
    </row>
    <row r="143" spans="1:9">
      <c r="A143" s="381"/>
      <c r="B143" s="94"/>
      <c r="C143" s="390"/>
      <c r="D143" s="390"/>
      <c r="E143" s="397" t="s">
        <v>627</v>
      </c>
      <c r="F143" s="397"/>
      <c r="G143" s="397"/>
      <c r="H143" s="397"/>
      <c r="I143" s="397"/>
    </row>
    <row r="144" spans="1:9">
      <c r="A144" s="94"/>
      <c r="B144" s="94"/>
      <c r="C144" s="94"/>
      <c r="D144" s="94"/>
      <c r="E144" s="94"/>
      <c r="F144" s="94"/>
      <c r="G144" s="94"/>
      <c r="H144" s="94"/>
      <c r="I144" s="94"/>
    </row>
    <row r="145" spans="1:9">
      <c r="A145" s="379"/>
      <c r="B145" s="94" t="s">
        <v>409</v>
      </c>
      <c r="C145" s="94"/>
      <c r="D145" s="94"/>
      <c r="E145" s="94"/>
      <c r="F145" s="97" t="s">
        <v>380</v>
      </c>
      <c r="G145" s="105" t="s">
        <v>605</v>
      </c>
      <c r="H145" s="94"/>
      <c r="I145" s="94"/>
    </row>
    <row r="146" spans="1:9" ht="15">
      <c r="A146" s="380"/>
      <c r="B146" s="343" t="s">
        <v>56</v>
      </c>
      <c r="C146" s="383"/>
      <c r="D146" s="383"/>
      <c r="E146" s="383"/>
      <c r="F146" s="97" t="s">
        <v>410</v>
      </c>
      <c r="G146" s="109"/>
      <c r="H146" s="97" t="s">
        <v>411</v>
      </c>
      <c r="I146" s="109"/>
    </row>
    <row r="147" spans="1:9">
      <c r="A147" s="380"/>
      <c r="B147" s="94" t="s">
        <v>235</v>
      </c>
      <c r="C147" s="110">
        <f>$C$23+$E$23</f>
        <v>0</v>
      </c>
      <c r="D147" s="110" t="s">
        <v>236</v>
      </c>
      <c r="E147" s="110">
        <f>$G$23</f>
        <v>0</v>
      </c>
      <c r="F147" s="113" t="s">
        <v>644</v>
      </c>
      <c r="G147" s="110">
        <f>$I$207+$I$208</f>
        <v>0</v>
      </c>
      <c r="H147" s="97" t="s">
        <v>412</v>
      </c>
      <c r="I147" s="117">
        <f>MOD(I146-G146, 1)*24</f>
        <v>0</v>
      </c>
    </row>
    <row r="148" spans="1:9" ht="15">
      <c r="A148" s="380"/>
      <c r="B148" s="343" t="s">
        <v>385</v>
      </c>
      <c r="C148" s="383"/>
      <c r="D148" s="383"/>
      <c r="E148" s="383"/>
      <c r="F148" s="97" t="s">
        <v>99</v>
      </c>
      <c r="G148" s="384"/>
      <c r="H148" s="384"/>
      <c r="I148" s="384"/>
    </row>
    <row r="149" spans="1:9">
      <c r="A149" s="380"/>
      <c r="B149" s="94" t="s">
        <v>386</v>
      </c>
      <c r="C149" s="383"/>
      <c r="D149" s="383"/>
      <c r="E149" s="383"/>
      <c r="F149" s="390"/>
      <c r="G149" s="390"/>
      <c r="H149" s="390"/>
      <c r="I149" s="390"/>
    </row>
    <row r="150" spans="1:9">
      <c r="A150" s="380"/>
      <c r="B150" s="94"/>
      <c r="C150" s="383"/>
      <c r="D150" s="383"/>
      <c r="E150" s="383"/>
      <c r="F150" s="390"/>
      <c r="G150" s="390"/>
      <c r="H150" s="390"/>
      <c r="I150" s="390"/>
    </row>
    <row r="151" spans="1:9">
      <c r="A151" s="380"/>
      <c r="B151" s="94"/>
      <c r="C151" s="383"/>
      <c r="D151" s="383"/>
      <c r="E151" s="383"/>
      <c r="F151" s="390"/>
      <c r="G151" s="390"/>
      <c r="H151" s="390"/>
      <c r="I151" s="390"/>
    </row>
    <row r="152" spans="1:9">
      <c r="A152" s="380"/>
      <c r="B152" s="94"/>
      <c r="C152" s="383"/>
      <c r="D152" s="383"/>
      <c r="E152" s="383"/>
      <c r="F152" s="390"/>
      <c r="G152" s="390"/>
      <c r="H152" s="390"/>
      <c r="I152" s="390"/>
    </row>
    <row r="153" spans="1:9">
      <c r="A153" s="380"/>
      <c r="B153" s="94"/>
      <c r="C153" s="383"/>
      <c r="D153" s="383"/>
      <c r="E153" s="383"/>
      <c r="F153" s="390"/>
      <c r="G153" s="390"/>
      <c r="H153" s="390"/>
      <c r="I153" s="390"/>
    </row>
    <row r="154" spans="1:9">
      <c r="A154" s="380"/>
      <c r="B154" s="94"/>
      <c r="C154" s="383"/>
      <c r="D154" s="383"/>
      <c r="E154" s="383"/>
      <c r="F154" s="390"/>
      <c r="G154" s="390"/>
      <c r="H154" s="390"/>
      <c r="I154" s="390"/>
    </row>
    <row r="155" spans="1:9">
      <c r="A155" s="380"/>
      <c r="B155" s="94"/>
      <c r="C155" s="383"/>
      <c r="D155" s="383"/>
      <c r="E155" s="383"/>
      <c r="F155" s="384"/>
      <c r="G155" s="384"/>
      <c r="H155" s="384"/>
      <c r="I155" s="384"/>
    </row>
    <row r="156" spans="1:9">
      <c r="A156" s="380"/>
      <c r="B156" s="410" t="s">
        <v>645</v>
      </c>
      <c r="C156" s="412"/>
      <c r="D156" s="391"/>
      <c r="E156" s="392"/>
      <c r="F156" s="392"/>
      <c r="G156" s="392"/>
      <c r="H156" s="392"/>
      <c r="I156" s="393"/>
    </row>
    <row r="157" spans="1:9">
      <c r="A157" s="380"/>
      <c r="B157" s="94"/>
      <c r="C157" s="94"/>
      <c r="D157" s="394"/>
      <c r="E157" s="395"/>
      <c r="F157" s="395"/>
      <c r="G157" s="395"/>
      <c r="H157" s="395"/>
      <c r="I157" s="396"/>
    </row>
    <row r="158" spans="1:9">
      <c r="A158" s="380"/>
      <c r="B158" s="94"/>
      <c r="C158" s="94"/>
      <c r="D158" s="94"/>
      <c r="E158" s="94"/>
      <c r="F158" s="94"/>
      <c r="G158" s="94"/>
      <c r="H158" s="94"/>
      <c r="I158" s="94"/>
    </row>
    <row r="159" spans="1:9" ht="15">
      <c r="A159" s="380"/>
      <c r="B159" s="343" t="s">
        <v>346</v>
      </c>
      <c r="C159" s="94"/>
      <c r="D159" s="94"/>
      <c r="E159" s="107" t="s">
        <v>298</v>
      </c>
      <c r="F159" s="94"/>
      <c r="G159" s="94"/>
      <c r="H159" s="94"/>
      <c r="I159" s="94"/>
    </row>
    <row r="160" spans="1:9">
      <c r="A160" s="380"/>
      <c r="B160" s="94" t="s">
        <v>55</v>
      </c>
      <c r="C160" s="383"/>
      <c r="D160" s="383"/>
      <c r="E160" s="110">
        <v>1</v>
      </c>
      <c r="F160" s="97" t="s">
        <v>651</v>
      </c>
      <c r="G160" s="384"/>
      <c r="H160" s="384"/>
      <c r="I160" s="384"/>
    </row>
    <row r="161" spans="1:9">
      <c r="A161" s="380"/>
      <c r="B161" s="94" t="s">
        <v>296</v>
      </c>
      <c r="C161" s="389" t="str">
        <f>IFERROR(IF(E161&gt;0, LEFT(C160, SEARCH(" (", C160)-1) &amp; " (extra guests)", ""),"")</f>
        <v/>
      </c>
      <c r="D161" s="389"/>
      <c r="E161" s="110">
        <f>IF(($C$23+$E$23+$G$23+$I$23)&lt;=40,0,($C$23+$E$23+$G$23+$I$23)-40)</f>
        <v>0</v>
      </c>
      <c r="F161" s="97" t="s">
        <v>638</v>
      </c>
      <c r="G161" s="384"/>
      <c r="H161" s="384"/>
      <c r="I161" s="384"/>
    </row>
    <row r="162" spans="1:9">
      <c r="A162" s="380"/>
      <c r="B162" s="94" t="s">
        <v>330</v>
      </c>
      <c r="C162" s="99"/>
      <c r="D162" s="107"/>
      <c r="E162" s="107"/>
      <c r="F162" s="97" t="s">
        <v>652</v>
      </c>
      <c r="G162" s="384"/>
      <c r="H162" s="384"/>
      <c r="I162" s="384"/>
    </row>
    <row r="163" spans="1:9">
      <c r="A163" s="380"/>
      <c r="B163" s="94" t="s">
        <v>257</v>
      </c>
      <c r="C163" s="99"/>
      <c r="D163" s="107"/>
      <c r="E163" s="107"/>
      <c r="F163" s="97" t="s">
        <v>653</v>
      </c>
      <c r="G163" s="384"/>
      <c r="H163" s="384"/>
      <c r="I163" s="384"/>
    </row>
    <row r="164" spans="1:9">
      <c r="A164" s="380"/>
      <c r="B164" s="94" t="s">
        <v>379</v>
      </c>
      <c r="C164" s="383"/>
      <c r="D164" s="383"/>
      <c r="E164" s="383"/>
      <c r="F164" s="97" t="s">
        <v>654</v>
      </c>
      <c r="G164" s="384"/>
      <c r="H164" s="384"/>
      <c r="I164" s="384"/>
    </row>
    <row r="165" spans="1:9">
      <c r="A165" s="380"/>
      <c r="B165" s="94"/>
      <c r="C165" s="94"/>
      <c r="D165" s="94"/>
      <c r="E165" s="94"/>
      <c r="F165" s="94"/>
      <c r="G165" s="94"/>
      <c r="H165" s="94"/>
      <c r="I165" s="94"/>
    </row>
    <row r="166" spans="1:9">
      <c r="A166" s="380"/>
      <c r="B166" s="94" t="s">
        <v>262</v>
      </c>
      <c r="C166" s="390"/>
      <c r="D166" s="390"/>
      <c r="E166" s="390"/>
      <c r="F166" s="390"/>
      <c r="G166" s="390"/>
      <c r="H166" s="390"/>
      <c r="I166" s="390"/>
    </row>
    <row r="167" spans="1:9">
      <c r="A167" s="380"/>
      <c r="B167" s="94"/>
      <c r="C167" s="390"/>
      <c r="D167" s="390"/>
      <c r="E167" s="390"/>
      <c r="F167" s="390"/>
      <c r="G167" s="390"/>
      <c r="H167" s="390"/>
      <c r="I167" s="390"/>
    </row>
    <row r="168" spans="1:9">
      <c r="A168" s="380"/>
      <c r="B168" s="94"/>
      <c r="C168" s="390"/>
      <c r="D168" s="390"/>
      <c r="E168" s="390"/>
      <c r="F168" s="390"/>
      <c r="G168" s="390"/>
      <c r="H168" s="390"/>
      <c r="I168" s="390"/>
    </row>
    <row r="169" spans="1:9">
      <c r="A169" s="380"/>
      <c r="B169" s="94"/>
      <c r="C169" s="94"/>
      <c r="D169" s="94"/>
      <c r="E169" s="94"/>
      <c r="F169" s="94"/>
      <c r="G169" s="94"/>
      <c r="H169" s="94"/>
      <c r="I169" s="94"/>
    </row>
    <row r="170" spans="1:9">
      <c r="A170" s="380"/>
      <c r="B170" s="94" t="s">
        <v>655</v>
      </c>
      <c r="C170" s="99"/>
      <c r="D170" s="107"/>
      <c r="E170" s="97" t="s">
        <v>256</v>
      </c>
      <c r="F170" s="390"/>
      <c r="G170" s="390"/>
      <c r="H170" s="390"/>
      <c r="I170" s="390"/>
    </row>
    <row r="171" spans="1:9">
      <c r="A171" s="380"/>
      <c r="B171" s="94" t="s">
        <v>848</v>
      </c>
      <c r="C171" s="383"/>
      <c r="D171" s="383"/>
      <c r="E171" s="94"/>
      <c r="F171" s="390"/>
      <c r="G171" s="390"/>
      <c r="H171" s="390"/>
      <c r="I171" s="390"/>
    </row>
    <row r="172" spans="1:9">
      <c r="A172" s="380"/>
      <c r="B172" s="94"/>
      <c r="C172" s="107" t="s">
        <v>298</v>
      </c>
      <c r="D172" s="94"/>
      <c r="E172" s="94"/>
      <c r="F172" s="390"/>
      <c r="G172" s="390"/>
      <c r="H172" s="390"/>
      <c r="I172" s="390"/>
    </row>
    <row r="173" spans="1:9">
      <c r="A173" s="380"/>
      <c r="B173" s="94" t="s">
        <v>657</v>
      </c>
      <c r="C173" s="104"/>
      <c r="D173" s="94"/>
      <c r="E173" s="94"/>
      <c r="F173" s="390"/>
      <c r="G173" s="390"/>
      <c r="H173" s="390"/>
      <c r="I173" s="390"/>
    </row>
    <row r="174" spans="1:9">
      <c r="A174" s="380"/>
      <c r="B174" s="94"/>
      <c r="C174" s="94"/>
      <c r="D174" s="94"/>
      <c r="E174" s="94"/>
      <c r="F174" s="390"/>
      <c r="G174" s="390"/>
      <c r="H174" s="390"/>
      <c r="I174" s="390"/>
    </row>
    <row r="175" spans="1:9">
      <c r="A175" s="380"/>
      <c r="B175" s="94"/>
      <c r="C175" s="94"/>
      <c r="D175" s="94"/>
      <c r="E175" s="94"/>
      <c r="F175" s="390"/>
      <c r="G175" s="390"/>
      <c r="H175" s="390"/>
      <c r="I175" s="390"/>
    </row>
    <row r="176" spans="1:9">
      <c r="A176" s="380"/>
      <c r="B176" s="94"/>
      <c r="C176" s="94"/>
      <c r="D176" s="94"/>
      <c r="E176" s="94"/>
      <c r="F176" s="94"/>
      <c r="G176" s="94"/>
      <c r="H176" s="94"/>
      <c r="I176" s="94"/>
    </row>
    <row r="177" spans="1:9" ht="15">
      <c r="A177" s="380"/>
      <c r="B177" s="343" t="s">
        <v>347</v>
      </c>
      <c r="C177" s="94"/>
      <c r="D177" s="94"/>
      <c r="E177" s="94"/>
      <c r="F177" s="94"/>
      <c r="G177" s="94"/>
      <c r="H177" s="94"/>
      <c r="I177" s="94"/>
    </row>
    <row r="178" spans="1:9">
      <c r="A178" s="380"/>
      <c r="B178" s="94" t="s">
        <v>348</v>
      </c>
      <c r="C178" s="383"/>
      <c r="D178" s="383"/>
      <c r="E178" s="97" t="s">
        <v>352</v>
      </c>
      <c r="F178" s="99"/>
      <c r="G178" s="97" t="s">
        <v>631</v>
      </c>
      <c r="H178" s="383"/>
      <c r="I178" s="383"/>
    </row>
    <row r="179" spans="1:9">
      <c r="A179" s="380"/>
      <c r="B179" s="94" t="s">
        <v>350</v>
      </c>
      <c r="C179" s="383"/>
      <c r="D179" s="383"/>
      <c r="E179" s="413" t="s">
        <v>404</v>
      </c>
      <c r="F179" s="414"/>
      <c r="G179" s="383"/>
      <c r="H179" s="383"/>
      <c r="I179" s="383"/>
    </row>
    <row r="180" spans="1:9">
      <c r="A180" s="380"/>
      <c r="B180" s="94" t="s">
        <v>658</v>
      </c>
      <c r="C180" s="114"/>
      <c r="D180" s="94"/>
      <c r="E180" s="413" t="s">
        <v>405</v>
      </c>
      <c r="F180" s="414"/>
      <c r="G180" s="99"/>
      <c r="H180" s="94"/>
      <c r="I180" s="94"/>
    </row>
    <row r="181" spans="1:9">
      <c r="A181" s="380"/>
      <c r="B181" s="94" t="s">
        <v>99</v>
      </c>
      <c r="C181" s="390"/>
      <c r="D181" s="390"/>
      <c r="E181" s="390"/>
      <c r="F181" s="390"/>
      <c r="G181" s="390"/>
      <c r="H181" s="390"/>
      <c r="I181" s="390"/>
    </row>
    <row r="182" spans="1:9">
      <c r="A182" s="380"/>
      <c r="B182" s="94"/>
      <c r="C182" s="390"/>
      <c r="D182" s="390"/>
      <c r="E182" s="390"/>
      <c r="F182" s="390"/>
      <c r="G182" s="390"/>
      <c r="H182" s="390"/>
      <c r="I182" s="390"/>
    </row>
    <row r="183" spans="1:9">
      <c r="A183" s="380"/>
      <c r="B183" s="94" t="s">
        <v>659</v>
      </c>
      <c r="C183" s="383"/>
      <c r="D183" s="383"/>
      <c r="E183" s="97" t="s">
        <v>632</v>
      </c>
      <c r="F183" s="383"/>
      <c r="G183" s="383"/>
      <c r="H183" s="94"/>
      <c r="I183" s="94"/>
    </row>
    <row r="184" spans="1:9">
      <c r="A184" s="380"/>
      <c r="B184" s="94" t="s">
        <v>660</v>
      </c>
      <c r="C184" s="383"/>
      <c r="D184" s="383"/>
      <c r="E184" s="97" t="s">
        <v>640</v>
      </c>
      <c r="F184" s="383"/>
      <c r="G184" s="383"/>
      <c r="H184" s="94"/>
      <c r="I184" s="94"/>
    </row>
    <row r="185" spans="1:9">
      <c r="A185" s="380"/>
      <c r="B185" s="94" t="s">
        <v>99</v>
      </c>
      <c r="C185" s="390"/>
      <c r="D185" s="390"/>
      <c r="E185" s="390"/>
      <c r="F185" s="390"/>
      <c r="G185" s="390"/>
      <c r="H185" s="390"/>
      <c r="I185" s="390"/>
    </row>
    <row r="186" spans="1:9">
      <c r="A186" s="380"/>
      <c r="B186" s="94"/>
      <c r="C186" s="390"/>
      <c r="D186" s="390"/>
      <c r="E186" s="390"/>
      <c r="F186" s="390"/>
      <c r="G186" s="390"/>
      <c r="H186" s="390"/>
      <c r="I186" s="390"/>
    </row>
    <row r="187" spans="1:9">
      <c r="A187" s="380"/>
      <c r="B187" s="94" t="s">
        <v>362</v>
      </c>
      <c r="C187" s="383"/>
      <c r="D187" s="383"/>
      <c r="E187" s="383"/>
      <c r="F187" s="97" t="s">
        <v>363</v>
      </c>
      <c r="G187" s="383"/>
      <c r="H187" s="383"/>
      <c r="I187" s="383"/>
    </row>
    <row r="188" spans="1:9">
      <c r="A188" s="380"/>
      <c r="B188" s="94" t="s">
        <v>58</v>
      </c>
      <c r="C188" s="383"/>
      <c r="D188" s="383"/>
      <c r="E188" s="94"/>
      <c r="F188" s="413" t="s">
        <v>634</v>
      </c>
      <c r="G188" s="414"/>
      <c r="H188" s="116"/>
      <c r="I188" s="94"/>
    </row>
    <row r="189" spans="1:9">
      <c r="A189" s="380"/>
      <c r="B189" s="94" t="s">
        <v>633</v>
      </c>
      <c r="C189" s="114"/>
      <c r="D189" s="94"/>
      <c r="E189" s="94"/>
      <c r="F189" s="94"/>
      <c r="G189" s="94"/>
      <c r="H189" s="94"/>
      <c r="I189" s="94"/>
    </row>
    <row r="190" spans="1:9">
      <c r="A190" s="380"/>
      <c r="B190" s="94" t="s">
        <v>99</v>
      </c>
      <c r="C190" s="390"/>
      <c r="D190" s="390"/>
      <c r="E190" s="390"/>
      <c r="F190" s="390"/>
      <c r="G190" s="390"/>
      <c r="H190" s="390"/>
      <c r="I190" s="390"/>
    </row>
    <row r="191" spans="1:9">
      <c r="A191" s="380"/>
      <c r="B191" s="94"/>
      <c r="C191" s="390"/>
      <c r="D191" s="390"/>
      <c r="E191" s="390"/>
      <c r="F191" s="390"/>
      <c r="G191" s="390"/>
      <c r="H191" s="390"/>
      <c r="I191" s="390"/>
    </row>
    <row r="192" spans="1:9">
      <c r="A192" s="380"/>
      <c r="B192" s="94" t="s">
        <v>662</v>
      </c>
      <c r="C192" s="391"/>
      <c r="D192" s="392"/>
      <c r="E192" s="392"/>
      <c r="F192" s="392"/>
      <c r="G192" s="392"/>
      <c r="H192" s="392"/>
      <c r="I192" s="393"/>
    </row>
    <row r="193" spans="1:9">
      <c r="A193" s="380"/>
      <c r="B193" s="94"/>
      <c r="C193" s="400"/>
      <c r="D193" s="401"/>
      <c r="E193" s="401"/>
      <c r="F193" s="401"/>
      <c r="G193" s="401"/>
      <c r="H193" s="401"/>
      <c r="I193" s="402"/>
    </row>
    <row r="194" spans="1:9">
      <c r="A194" s="381"/>
      <c r="B194" s="94"/>
      <c r="C194" s="394"/>
      <c r="D194" s="395"/>
      <c r="E194" s="395"/>
      <c r="F194" s="395"/>
      <c r="G194" s="395"/>
      <c r="H194" s="395"/>
      <c r="I194" s="396"/>
    </row>
    <row r="195" spans="1:9">
      <c r="A195" s="94"/>
      <c r="B195" s="94"/>
      <c r="C195" s="94"/>
      <c r="D195" s="94"/>
      <c r="E195" s="94"/>
      <c r="F195" s="94"/>
      <c r="G195" s="94"/>
      <c r="H195" s="94"/>
      <c r="I195" s="94"/>
    </row>
    <row r="196" spans="1:9">
      <c r="B196" s="382" t="s">
        <v>420</v>
      </c>
      <c r="C196" s="382"/>
      <c r="D196" s="382"/>
      <c r="E196" s="382"/>
      <c r="F196" s="382"/>
      <c r="G196" s="382"/>
      <c r="H196" s="382"/>
      <c r="I196" s="382"/>
    </row>
    <row r="197" spans="1:9" ht="15">
      <c r="A197" s="370"/>
      <c r="B197" s="94" t="s">
        <v>661</v>
      </c>
      <c r="C197" s="99"/>
      <c r="D197" s="344" t="s">
        <v>421</v>
      </c>
      <c r="E197" s="99"/>
      <c r="F197" s="336" t="s">
        <v>663</v>
      </c>
      <c r="G197" s="99"/>
      <c r="H197" s="97" t="s">
        <v>681</v>
      </c>
      <c r="I197" s="100">
        <f>$C$23/2</f>
        <v>0</v>
      </c>
    </row>
    <row r="198" spans="1:9">
      <c r="A198" s="372"/>
      <c r="B198" s="94" t="s">
        <v>662</v>
      </c>
      <c r="C198" s="388"/>
      <c r="D198" s="388"/>
      <c r="E198" s="388"/>
      <c r="F198" s="388"/>
      <c r="G198" s="388"/>
      <c r="H198" s="388"/>
      <c r="I198" s="388"/>
    </row>
    <row r="199" spans="1:9">
      <c r="B199" s="94"/>
      <c r="C199" s="94"/>
      <c r="D199" s="94"/>
      <c r="E199" s="94"/>
      <c r="F199" s="94"/>
      <c r="G199" s="94"/>
      <c r="H199" s="94"/>
      <c r="I199" s="94"/>
    </row>
    <row r="200" spans="1:9">
      <c r="A200" s="370"/>
      <c r="B200" s="101" t="s">
        <v>272</v>
      </c>
      <c r="C200" s="94"/>
      <c r="D200" s="94"/>
      <c r="E200" s="94"/>
      <c r="F200" s="94"/>
      <c r="G200" s="94"/>
      <c r="H200" s="94"/>
      <c r="I200" s="94"/>
    </row>
    <row r="201" spans="1:9">
      <c r="A201" s="371"/>
      <c r="B201" s="102" t="str">
        <f>IF(C6="","",LEFT(C6, SEARCH(" ", C6) - 1))</f>
        <v/>
      </c>
      <c r="C201" s="103"/>
      <c r="D201" s="97" t="s">
        <v>264</v>
      </c>
      <c r="E201" s="95"/>
      <c r="F201" s="97" t="s">
        <v>850</v>
      </c>
      <c r="G201" s="114"/>
      <c r="H201" s="97" t="s">
        <v>99</v>
      </c>
      <c r="I201" s="346"/>
    </row>
    <row r="202" spans="1:9">
      <c r="A202" s="371"/>
      <c r="B202" s="102" t="str">
        <f>IF(C7="","",LEFT(C7, SEARCH(" ", C7) - 1))</f>
        <v/>
      </c>
      <c r="C202" s="103"/>
      <c r="D202" s="97" t="s">
        <v>264</v>
      </c>
      <c r="E202" s="95"/>
      <c r="F202" s="97" t="s">
        <v>850</v>
      </c>
      <c r="G202" s="114"/>
      <c r="H202" s="97" t="s">
        <v>99</v>
      </c>
      <c r="I202" s="346"/>
    </row>
    <row r="203" spans="1:9" ht="15">
      <c r="A203" s="371"/>
      <c r="B203" s="343" t="s">
        <v>303</v>
      </c>
      <c r="C203" s="99"/>
      <c r="D203" s="94"/>
      <c r="E203" s="102"/>
      <c r="F203" s="94"/>
      <c r="G203" s="94"/>
      <c r="H203" s="94"/>
      <c r="I203" s="94"/>
    </row>
    <row r="204" spans="1:9">
      <c r="A204" s="372"/>
      <c r="B204" s="410" t="s">
        <v>302</v>
      </c>
      <c r="C204" s="411"/>
      <c r="D204" s="411"/>
      <c r="E204" s="411"/>
      <c r="F204" s="411"/>
      <c r="G204" s="411"/>
      <c r="H204" s="411"/>
      <c r="I204" s="412"/>
    </row>
    <row r="206" spans="1:9">
      <c r="A206" s="370"/>
      <c r="B206" s="101" t="s">
        <v>367</v>
      </c>
      <c r="C206" s="94"/>
      <c r="D206" s="94"/>
      <c r="E206" s="94"/>
      <c r="F206" s="94"/>
      <c r="G206" s="94"/>
      <c r="H206" s="94"/>
      <c r="I206" s="107" t="s">
        <v>606</v>
      </c>
    </row>
    <row r="207" spans="1:9">
      <c r="A207" s="371"/>
      <c r="B207" s="94" t="s">
        <v>665</v>
      </c>
      <c r="C207" s="383"/>
      <c r="D207" s="383"/>
      <c r="E207" s="98" t="s">
        <v>664</v>
      </c>
      <c r="F207" s="384"/>
      <c r="G207" s="384"/>
      <c r="H207" s="384"/>
      <c r="I207" s="104"/>
    </row>
    <row r="208" spans="1:9">
      <c r="A208" s="371"/>
      <c r="B208" s="94" t="s">
        <v>666</v>
      </c>
      <c r="C208" s="383"/>
      <c r="D208" s="383"/>
      <c r="E208" s="98" t="s">
        <v>664</v>
      </c>
      <c r="F208" s="384"/>
      <c r="G208" s="384"/>
      <c r="H208" s="384"/>
      <c r="I208" s="104"/>
    </row>
    <row r="209" spans="1:9">
      <c r="A209" s="371"/>
      <c r="B209" s="94" t="s">
        <v>667</v>
      </c>
      <c r="C209" s="383"/>
      <c r="D209" s="383"/>
      <c r="E209" s="97" t="s">
        <v>372</v>
      </c>
      <c r="F209" s="384"/>
      <c r="G209" s="384"/>
      <c r="H209" s="384"/>
      <c r="I209" s="104"/>
    </row>
    <row r="210" spans="1:9">
      <c r="A210" s="371"/>
      <c r="B210" s="94" t="s">
        <v>668</v>
      </c>
      <c r="C210" s="383"/>
      <c r="D210" s="383"/>
      <c r="E210" s="97" t="s">
        <v>372</v>
      </c>
      <c r="F210" s="384"/>
      <c r="G210" s="384"/>
      <c r="H210" s="384"/>
      <c r="I210" s="104"/>
    </row>
    <row r="211" spans="1:9">
      <c r="A211" s="371"/>
      <c r="B211" s="94" t="s">
        <v>669</v>
      </c>
      <c r="C211" s="383"/>
      <c r="D211" s="383"/>
      <c r="E211" s="97" t="s">
        <v>372</v>
      </c>
      <c r="F211" s="384"/>
      <c r="G211" s="384"/>
      <c r="H211" s="384"/>
      <c r="I211" s="104"/>
    </row>
    <row r="212" spans="1:9">
      <c r="A212" s="371"/>
      <c r="B212" s="94" t="s">
        <v>670</v>
      </c>
      <c r="C212" s="383"/>
      <c r="D212" s="383"/>
      <c r="E212" s="97" t="s">
        <v>372</v>
      </c>
      <c r="F212" s="384"/>
      <c r="G212" s="384"/>
      <c r="H212" s="384"/>
      <c r="I212" s="104"/>
    </row>
    <row r="213" spans="1:9">
      <c r="A213" s="371"/>
      <c r="B213" s="94" t="s">
        <v>58</v>
      </c>
      <c r="C213" s="383"/>
      <c r="D213" s="383"/>
      <c r="E213" s="97" t="s">
        <v>372</v>
      </c>
      <c r="F213" s="384"/>
      <c r="G213" s="384"/>
      <c r="H213" s="384"/>
      <c r="I213" s="104"/>
    </row>
    <row r="214" spans="1:9">
      <c r="A214" s="371"/>
      <c r="B214" s="94" t="s">
        <v>671</v>
      </c>
      <c r="C214" s="383"/>
      <c r="D214" s="383"/>
      <c r="E214" s="97" t="s">
        <v>372</v>
      </c>
      <c r="F214" s="384"/>
      <c r="G214" s="384"/>
      <c r="H214" s="384"/>
      <c r="I214" s="104"/>
    </row>
    <row r="215" spans="1:9">
      <c r="A215" s="371"/>
      <c r="B215" s="94" t="s">
        <v>99</v>
      </c>
      <c r="C215" s="391"/>
      <c r="D215" s="392"/>
      <c r="E215" s="392"/>
      <c r="F215" s="392"/>
      <c r="G215" s="392"/>
      <c r="H215" s="392"/>
      <c r="I215" s="393"/>
    </row>
    <row r="216" spans="1:9">
      <c r="A216" s="372"/>
      <c r="B216" s="94"/>
      <c r="C216" s="394"/>
      <c r="D216" s="395"/>
      <c r="E216" s="395"/>
      <c r="F216" s="395"/>
      <c r="G216" s="395"/>
      <c r="H216" s="395"/>
      <c r="I216" s="396"/>
    </row>
    <row r="217" spans="1:9">
      <c r="B217" s="94"/>
      <c r="C217" s="94"/>
      <c r="D217" s="94"/>
      <c r="E217" s="94"/>
      <c r="F217" s="94"/>
      <c r="G217" s="94"/>
      <c r="H217" s="94"/>
      <c r="I217" s="94"/>
    </row>
    <row r="218" spans="1:9">
      <c r="A218" s="370"/>
      <c r="B218" s="101" t="s">
        <v>381</v>
      </c>
      <c r="C218" s="94"/>
      <c r="D218" s="94"/>
      <c r="E218" s="94"/>
      <c r="F218" s="94"/>
      <c r="G218" s="94"/>
      <c r="H218" s="94"/>
      <c r="I218" s="94"/>
    </row>
    <row r="219" spans="1:9">
      <c r="A219" s="371"/>
      <c r="B219" s="94" t="s">
        <v>382</v>
      </c>
      <c r="C219" s="97" t="s">
        <v>380</v>
      </c>
      <c r="D219" s="105" t="s">
        <v>605</v>
      </c>
      <c r="E219" s="97" t="s">
        <v>57</v>
      </c>
      <c r="F219" s="106"/>
      <c r="G219" s="94"/>
      <c r="H219" s="94"/>
      <c r="I219" s="94"/>
    </row>
    <row r="220" spans="1:9">
      <c r="A220" s="372"/>
      <c r="B220" s="94" t="s">
        <v>383</v>
      </c>
      <c r="C220" s="97" t="s">
        <v>380</v>
      </c>
      <c r="D220" s="105" t="s">
        <v>605</v>
      </c>
      <c r="E220" s="97" t="s">
        <v>57</v>
      </c>
      <c r="F220" s="106"/>
      <c r="G220" s="94"/>
      <c r="H220" s="94"/>
      <c r="I220" s="94"/>
    </row>
    <row r="222" spans="1:9" ht="27" customHeight="1">
      <c r="B222" s="419" t="s">
        <v>609</v>
      </c>
      <c r="C222" s="419"/>
      <c r="D222" s="419"/>
      <c r="E222" s="419"/>
      <c r="F222" s="419"/>
      <c r="G222" s="419"/>
      <c r="H222" s="419"/>
      <c r="I222" s="419"/>
    </row>
    <row r="223" spans="1:9">
      <c r="B223" s="87"/>
    </row>
    <row r="224" spans="1:9" s="85" customFormat="1" ht="27.75" customHeight="1">
      <c r="B224" s="382" t="s">
        <v>618</v>
      </c>
      <c r="C224" s="382"/>
      <c r="D224" s="382"/>
      <c r="E224" s="382"/>
      <c r="F224" s="382"/>
      <c r="G224" s="382"/>
      <c r="H224" s="382"/>
      <c r="I224" s="382"/>
    </row>
    <row r="225" spans="2:9" s="85" customFormat="1" ht="27.75" customHeight="1">
      <c r="B225" s="382" t="s">
        <v>619</v>
      </c>
      <c r="C225" s="382"/>
      <c r="D225" s="382"/>
      <c r="E225" s="382"/>
      <c r="F225" s="382"/>
      <c r="G225" s="382"/>
      <c r="H225" s="382"/>
      <c r="I225" s="382"/>
    </row>
    <row r="226" spans="2:9" s="85" customFormat="1" ht="27.75" customHeight="1">
      <c r="B226" s="382" t="s">
        <v>629</v>
      </c>
      <c r="C226" s="382"/>
      <c r="D226" s="382"/>
      <c r="E226" s="382"/>
      <c r="F226" s="382"/>
      <c r="G226" s="382"/>
      <c r="H226" s="382"/>
      <c r="I226" s="382"/>
    </row>
    <row r="227" spans="2:9">
      <c r="B227" s="87"/>
    </row>
    <row r="228" spans="2:9">
      <c r="B228" s="83" t="s">
        <v>610</v>
      </c>
    </row>
    <row r="229" spans="2:9" ht="46.5" customHeight="1">
      <c r="B229" s="399" t="s">
        <v>611</v>
      </c>
      <c r="C229" s="399"/>
      <c r="D229" s="399"/>
      <c r="E229" s="399"/>
      <c r="F229" s="399"/>
      <c r="G229" s="399"/>
      <c r="H229" s="399"/>
      <c r="I229" s="399"/>
    </row>
    <row r="230" spans="2:9">
      <c r="B230" s="399" t="s">
        <v>612</v>
      </c>
      <c r="C230" s="399"/>
      <c r="D230" s="399"/>
      <c r="E230" s="399"/>
      <c r="F230" s="399"/>
      <c r="G230" s="399"/>
      <c r="H230" s="399"/>
      <c r="I230" s="399"/>
    </row>
    <row r="231" spans="2:9">
      <c r="B231" s="399" t="s">
        <v>613</v>
      </c>
      <c r="C231" s="399"/>
      <c r="D231" s="399"/>
      <c r="E231" s="399"/>
      <c r="F231" s="399"/>
      <c r="G231" s="399"/>
      <c r="H231" s="399"/>
      <c r="I231" s="399"/>
    </row>
    <row r="232" spans="2:9" ht="30.75" customHeight="1">
      <c r="B232" s="399" t="s">
        <v>630</v>
      </c>
      <c r="C232" s="399"/>
      <c r="D232" s="399"/>
      <c r="E232" s="399"/>
      <c r="F232" s="399"/>
      <c r="G232" s="399"/>
      <c r="H232" s="399"/>
      <c r="I232" s="399"/>
    </row>
    <row r="233" spans="2:9">
      <c r="B233" s="88"/>
    </row>
    <row r="234" spans="2:9">
      <c r="B234" s="89" t="s">
        <v>614</v>
      </c>
    </row>
    <row r="235" spans="2:9" s="86" customFormat="1" ht="28.5" customHeight="1">
      <c r="B235" s="417" t="s">
        <v>672</v>
      </c>
      <c r="C235" s="417"/>
      <c r="D235" s="417"/>
      <c r="E235" s="417"/>
      <c r="F235" s="417"/>
      <c r="G235" s="417"/>
      <c r="H235" s="417"/>
      <c r="I235" s="417"/>
    </row>
    <row r="236" spans="2:9">
      <c r="B236" s="90"/>
    </row>
    <row r="237" spans="2:9" s="91" customFormat="1">
      <c r="B237" s="399" t="s">
        <v>615</v>
      </c>
      <c r="C237" s="399"/>
      <c r="D237" s="399"/>
      <c r="E237" s="399"/>
      <c r="F237" s="399"/>
      <c r="G237" s="399"/>
      <c r="H237" s="399"/>
      <c r="I237" s="399"/>
    </row>
    <row r="238" spans="2:9" s="91" customFormat="1">
      <c r="B238" s="84"/>
    </row>
    <row r="239" spans="2:9" s="91" customFormat="1" ht="27.75" customHeight="1">
      <c r="B239" s="399" t="s">
        <v>620</v>
      </c>
      <c r="C239" s="399"/>
      <c r="D239" s="399"/>
      <c r="E239" s="399"/>
      <c r="F239" s="399"/>
      <c r="G239" s="399"/>
      <c r="H239" s="399"/>
      <c r="I239" s="399"/>
    </row>
    <row r="240" spans="2:9" s="91" customFormat="1">
      <c r="B240" s="84"/>
    </row>
    <row r="241" spans="2:9" s="91" customFormat="1">
      <c r="B241" s="399" t="s">
        <v>616</v>
      </c>
      <c r="C241" s="399"/>
      <c r="D241" s="399"/>
      <c r="E241" s="399"/>
      <c r="F241" s="399"/>
      <c r="G241" s="399"/>
      <c r="H241" s="399"/>
      <c r="I241" s="399"/>
    </row>
    <row r="242" spans="2:9" s="91" customFormat="1">
      <c r="B242" s="84"/>
    </row>
    <row r="243" spans="2:9" s="91" customFormat="1">
      <c r="B243" s="84" t="s">
        <v>617</v>
      </c>
    </row>
    <row r="247" spans="2:9">
      <c r="B247" s="92"/>
      <c r="C247" s="92"/>
      <c r="E247" s="93"/>
      <c r="F247" s="93"/>
    </row>
    <row r="248" spans="2:9">
      <c r="B248" s="415" t="e">
        <f>_xlfn.TEXTBEFORE(C6, " ")&amp;"'s Signature"</f>
        <v>#N/A</v>
      </c>
      <c r="C248" s="415"/>
      <c r="E248" s="416" t="e">
        <f>_xlfn.TEXTBEFORE(C7, " ")&amp;"'s Signature"</f>
        <v>#N/A</v>
      </c>
      <c r="F248" s="416"/>
    </row>
    <row r="252" spans="2:9">
      <c r="F252" s="94"/>
      <c r="G252" s="94"/>
      <c r="H252" s="94"/>
      <c r="I252" s="97" t="s">
        <v>621</v>
      </c>
    </row>
    <row r="253" spans="2:9">
      <c r="F253" s="94"/>
      <c r="G253" s="94"/>
      <c r="H253" s="94"/>
      <c r="I253" s="97" t="s">
        <v>622</v>
      </c>
    </row>
    <row r="254" spans="2:9">
      <c r="F254" s="94"/>
      <c r="G254" s="94"/>
      <c r="H254" s="94"/>
      <c r="I254" s="97" t="s">
        <v>623</v>
      </c>
    </row>
    <row r="255" spans="2:9">
      <c r="F255" s="94"/>
      <c r="G255" s="94"/>
      <c r="H255" s="94"/>
      <c r="I255" s="97" t="s">
        <v>624</v>
      </c>
    </row>
  </sheetData>
  <sheetProtection algorithmName="SHA-512" hashValue="l4DhFc6jSqDrMZv7vqt2hiV5kbxUPH9+T8HkxURLW9feS4HeDvrAoyV2OiktufSm3yUiNx7ItITTJhufSW2uUA==" saltValue="lNWLR0w5PUrwWKcSHx+S5g==" spinCount="100000" sheet="1"/>
  <mergeCells count="205">
    <mergeCell ref="B2:I2"/>
    <mergeCell ref="E107:F107"/>
    <mergeCell ref="E108:F108"/>
    <mergeCell ref="F117:G117"/>
    <mergeCell ref="B77:C77"/>
    <mergeCell ref="B156:C156"/>
    <mergeCell ref="E179:F179"/>
    <mergeCell ref="E180:F180"/>
    <mergeCell ref="B18:I18"/>
    <mergeCell ref="C38:I40"/>
    <mergeCell ref="F41:I43"/>
    <mergeCell ref="F55:I57"/>
    <mergeCell ref="C51:D52"/>
    <mergeCell ref="G82:I86"/>
    <mergeCell ref="C122:I128"/>
    <mergeCell ref="B3:I3"/>
    <mergeCell ref="C116:E116"/>
    <mergeCell ref="C47:D47"/>
    <mergeCell ref="C62:D62"/>
    <mergeCell ref="C63:I64"/>
    <mergeCell ref="C67:E67"/>
    <mergeCell ref="C69:E69"/>
    <mergeCell ref="C70:E70"/>
    <mergeCell ref="C71:E71"/>
    <mergeCell ref="C215:I216"/>
    <mergeCell ref="F20:I20"/>
    <mergeCell ref="B20:D20"/>
    <mergeCell ref="B204:I204"/>
    <mergeCell ref="F188:G188"/>
    <mergeCell ref="B248:C248"/>
    <mergeCell ref="E248:F248"/>
    <mergeCell ref="B229:I229"/>
    <mergeCell ref="B230:I230"/>
    <mergeCell ref="B231:I231"/>
    <mergeCell ref="B232:I232"/>
    <mergeCell ref="B235:I235"/>
    <mergeCell ref="B237:I237"/>
    <mergeCell ref="B239:I239"/>
    <mergeCell ref="B241:I241"/>
    <mergeCell ref="B28:I28"/>
    <mergeCell ref="B45:I45"/>
    <mergeCell ref="B59:I59"/>
    <mergeCell ref="B130:I130"/>
    <mergeCell ref="B222:I222"/>
    <mergeCell ref="B224:I224"/>
    <mergeCell ref="B225:I225"/>
    <mergeCell ref="B226:I226"/>
    <mergeCell ref="G89:I89"/>
    <mergeCell ref="A28:A43"/>
    <mergeCell ref="G35:I35"/>
    <mergeCell ref="G36:I36"/>
    <mergeCell ref="G37:I37"/>
    <mergeCell ref="C35:D35"/>
    <mergeCell ref="G31:I32"/>
    <mergeCell ref="E52:I52"/>
    <mergeCell ref="F70:I70"/>
    <mergeCell ref="H106:I106"/>
    <mergeCell ref="F71:I71"/>
    <mergeCell ref="F72:I72"/>
    <mergeCell ref="F73:I73"/>
    <mergeCell ref="F74:I74"/>
    <mergeCell ref="C72:E72"/>
    <mergeCell ref="C73:E73"/>
    <mergeCell ref="C74:E74"/>
    <mergeCell ref="C75:E75"/>
    <mergeCell ref="C76:E76"/>
    <mergeCell ref="C85:D85"/>
    <mergeCell ref="E81:F86"/>
    <mergeCell ref="C106:D106"/>
    <mergeCell ref="C94:I96"/>
    <mergeCell ref="F98:I103"/>
    <mergeCell ref="C53:I53"/>
    <mergeCell ref="F208:H208"/>
    <mergeCell ref="C61:E61"/>
    <mergeCell ref="C50:D50"/>
    <mergeCell ref="C55:D55"/>
    <mergeCell ref="C36:D36"/>
    <mergeCell ref="C56:D56"/>
    <mergeCell ref="C37:D37"/>
    <mergeCell ref="C43:E43"/>
    <mergeCell ref="E47:I47"/>
    <mergeCell ref="C46:D46"/>
    <mergeCell ref="C207:D207"/>
    <mergeCell ref="C208:D208"/>
    <mergeCell ref="C42:D42"/>
    <mergeCell ref="G69:I69"/>
    <mergeCell ref="C107:D107"/>
    <mergeCell ref="F207:H207"/>
    <mergeCell ref="C89:D89"/>
    <mergeCell ref="C90:D90"/>
    <mergeCell ref="E48:I48"/>
    <mergeCell ref="E49:I49"/>
    <mergeCell ref="E50:I50"/>
    <mergeCell ref="E51:I51"/>
    <mergeCell ref="C192:I194"/>
    <mergeCell ref="C99:D99"/>
    <mergeCell ref="C12:E12"/>
    <mergeCell ref="C6:E6"/>
    <mergeCell ref="C7:E7"/>
    <mergeCell ref="C8:E8"/>
    <mergeCell ref="C13:E13"/>
    <mergeCell ref="C14:E14"/>
    <mergeCell ref="C30:D30"/>
    <mergeCell ref="E29:F29"/>
    <mergeCell ref="H5:I14"/>
    <mergeCell ref="B17:I17"/>
    <mergeCell ref="B16:I16"/>
    <mergeCell ref="C26:I26"/>
    <mergeCell ref="G90:I90"/>
    <mergeCell ref="G91:I91"/>
    <mergeCell ref="G92:I92"/>
    <mergeCell ref="G93:I93"/>
    <mergeCell ref="F75:I75"/>
    <mergeCell ref="F76:I76"/>
    <mergeCell ref="D77:I78"/>
    <mergeCell ref="G107:I107"/>
    <mergeCell ref="C137:D137"/>
    <mergeCell ref="C132:D132"/>
    <mergeCell ref="C109:I110"/>
    <mergeCell ref="C119:I120"/>
    <mergeCell ref="C111:D111"/>
    <mergeCell ref="C112:D112"/>
    <mergeCell ref="F112:G112"/>
    <mergeCell ref="G116:I116"/>
    <mergeCell ref="C117:D117"/>
    <mergeCell ref="G118:I118"/>
    <mergeCell ref="F111:G111"/>
    <mergeCell ref="C153:E153"/>
    <mergeCell ref="F153:I153"/>
    <mergeCell ref="C154:E154"/>
    <mergeCell ref="F154:I154"/>
    <mergeCell ref="C113:I115"/>
    <mergeCell ref="C149:E149"/>
    <mergeCell ref="F149:I149"/>
    <mergeCell ref="C150:E150"/>
    <mergeCell ref="F150:I150"/>
    <mergeCell ref="C151:E151"/>
    <mergeCell ref="F151:I151"/>
    <mergeCell ref="E143:I143"/>
    <mergeCell ref="C140:D143"/>
    <mergeCell ref="C146:E146"/>
    <mergeCell ref="C148:E148"/>
    <mergeCell ref="G148:I148"/>
    <mergeCell ref="E142:I142"/>
    <mergeCell ref="E138:I138"/>
    <mergeCell ref="E139:I139"/>
    <mergeCell ref="E140:I140"/>
    <mergeCell ref="E141:I141"/>
    <mergeCell ref="C210:D210"/>
    <mergeCell ref="C211:D211"/>
    <mergeCell ref="C212:D212"/>
    <mergeCell ref="C213:D213"/>
    <mergeCell ref="C214:D214"/>
    <mergeCell ref="F210:H210"/>
    <mergeCell ref="F211:H211"/>
    <mergeCell ref="F212:H212"/>
    <mergeCell ref="F213:H213"/>
    <mergeCell ref="C187:E187"/>
    <mergeCell ref="G187:I187"/>
    <mergeCell ref="C188:D188"/>
    <mergeCell ref="C190:I191"/>
    <mergeCell ref="C92:D92"/>
    <mergeCell ref="C181:I182"/>
    <mergeCell ref="C183:D183"/>
    <mergeCell ref="F183:G183"/>
    <mergeCell ref="C184:D184"/>
    <mergeCell ref="F184:G184"/>
    <mergeCell ref="C185:I186"/>
    <mergeCell ref="F170:I175"/>
    <mergeCell ref="C171:D171"/>
    <mergeCell ref="G163:I163"/>
    <mergeCell ref="G164:I164"/>
    <mergeCell ref="C166:I168"/>
    <mergeCell ref="C155:E155"/>
    <mergeCell ref="F155:I155"/>
    <mergeCell ref="D156:I157"/>
    <mergeCell ref="C160:D160"/>
    <mergeCell ref="G160:I160"/>
    <mergeCell ref="C164:E164"/>
    <mergeCell ref="C152:E152"/>
    <mergeCell ref="F152:I152"/>
    <mergeCell ref="A218:A220"/>
    <mergeCell ref="G30:I30"/>
    <mergeCell ref="A45:A57"/>
    <mergeCell ref="A59:A128"/>
    <mergeCell ref="A131:A134"/>
    <mergeCell ref="A136:A143"/>
    <mergeCell ref="A145:A194"/>
    <mergeCell ref="B196:I196"/>
    <mergeCell ref="A197:A198"/>
    <mergeCell ref="A200:A204"/>
    <mergeCell ref="A206:A216"/>
    <mergeCell ref="C209:D209"/>
    <mergeCell ref="F209:H209"/>
    <mergeCell ref="C133:I133"/>
    <mergeCell ref="C134:I134"/>
    <mergeCell ref="C198:I198"/>
    <mergeCell ref="F214:H214"/>
    <mergeCell ref="C178:D178"/>
    <mergeCell ref="H178:I178"/>
    <mergeCell ref="C179:D179"/>
    <mergeCell ref="G179:I179"/>
    <mergeCell ref="C161:D161"/>
    <mergeCell ref="G161:I161"/>
    <mergeCell ref="G162:I162"/>
  </mergeCells>
  <conditionalFormatting sqref="C5">
    <cfRule type="cellIs" dxfId="35" priority="26" operator="notEqual">
      <formula>"MM/DD/YY"</formula>
    </cfRule>
  </conditionalFormatting>
  <conditionalFormatting sqref="C10:C11">
    <cfRule type="cellIs" dxfId="34" priority="2" operator="notEqual">
      <formula>"MM/DD/YY"</formula>
    </cfRule>
  </conditionalFormatting>
  <conditionalFormatting sqref="D219:D220">
    <cfRule type="cellIs" dxfId="33" priority="1" operator="notEqual">
      <formula>"MM/DD/YY"</formula>
    </cfRule>
  </conditionalFormatting>
  <conditionalFormatting sqref="E47:E49">
    <cfRule type="cellIs" dxfId="32" priority="5" operator="notEqual">
      <formula>"SELECT COLD OPTION"</formula>
    </cfRule>
  </conditionalFormatting>
  <conditionalFormatting sqref="E138:E140">
    <cfRule type="cellIs" dxfId="31" priority="13" operator="notEqual">
      <formula>"SELECT COLD OPTION"</formula>
    </cfRule>
  </conditionalFormatting>
  <conditionalFormatting sqref="E50:I52">
    <cfRule type="cellIs" dxfId="30" priority="4" operator="notEqual">
      <formula>"SELECT HOT OPTION"</formula>
    </cfRule>
  </conditionalFormatting>
  <conditionalFormatting sqref="E141:I143">
    <cfRule type="cellIs" dxfId="29" priority="10" operator="notEqual">
      <formula>"SELECT HOT OPTION"</formula>
    </cfRule>
  </conditionalFormatting>
  <conditionalFormatting sqref="G131">
    <cfRule type="cellIs" dxfId="28" priority="24" operator="notEqual">
      <formula>"MM/DD/YY"</formula>
    </cfRule>
  </conditionalFormatting>
  <conditionalFormatting sqref="G136">
    <cfRule type="cellIs" dxfId="27" priority="16" operator="notEqual">
      <formula>"MM/DD/YY"</formula>
    </cfRule>
  </conditionalFormatting>
  <conditionalFormatting sqref="G145">
    <cfRule type="cellIs" dxfId="26" priority="3" operator="notEqual">
      <formula>"MM/DD/YY"</formula>
    </cfRule>
  </conditionalFormatting>
  <dataValidations count="3">
    <dataValidation allowBlank="1" showInputMessage="1" sqref="C36:D36 C56:D57 C161:D161 C90:D90" xr:uid="{ACC46F6A-D34D-4A7E-8E27-500C265CB641}"/>
    <dataValidation type="list" allowBlank="1" showInputMessage="1" showErrorMessage="1" sqref="E201:E202" xr:uid="{AFFB489F-8198-460D-8520-FC1AD0E64BD2}">
      <formula1>IF(C201 = "Bridal", Bridal, IF(C201 = "Churchill", Churchill, Room))</formula1>
    </dataValidation>
    <dataValidation type="list" allowBlank="1" showInputMessage="1" showErrorMessage="1" sqref="E197" xr:uid="{3520B006-9D9C-40E9-A4AD-3304CE3F38D1}">
      <formula1>Bridal</formula1>
    </dataValidation>
  </dataValidations>
  <hyperlinks>
    <hyperlink ref="B235:I235" r:id="rId1" display="Make sure to use the Documents Link which will give you ideas for the various options available to make your day unique and special.  " xr:uid="{09D2FBC9-AC70-4181-B622-6BC4EB4337A2}"/>
    <hyperlink ref="E19" r:id="rId2" xr:uid="{A2CA9778-8DAC-4248-9BF6-35B543A839CA}"/>
    <hyperlink ref="F19" r:id="rId3" xr:uid="{0324F4C4-F0BC-4362-A431-3B8876B3B05E}"/>
    <hyperlink ref="G19" r:id="rId4" xr:uid="{01DFFCCA-1BA6-4A21-B198-CE5B7D4AB66B}"/>
    <hyperlink ref="H19" r:id="rId5" xr:uid="{0AFBE012-A841-4ECB-8C0F-45D9BDD83402}"/>
    <hyperlink ref="I19" r:id="rId6" xr:uid="{2BA8C06E-89DD-4C32-A0FF-D00629FAB668}"/>
    <hyperlink ref="B33" r:id="rId7" xr:uid="{E5577F6D-332D-45E9-B7DF-BACDA312888A}"/>
    <hyperlink ref="B34" r:id="rId8" xr:uid="{F840E76B-1A47-433A-B46D-94FE297485C5}"/>
    <hyperlink ref="B55" r:id="rId9" xr:uid="{AE57163C-FE61-4388-9ACD-CFD71713AF1D}"/>
    <hyperlink ref="B88" r:id="rId10" xr:uid="{AD517772-8486-4123-9B8C-D4C3D379D5B8}"/>
    <hyperlink ref="B105" r:id="rId11" xr:uid="{250BED72-5953-4B4C-AB48-10D2673B754B}"/>
    <hyperlink ref="B159" r:id="rId12" xr:uid="{E3BA5A96-A76A-4EAF-8279-9D1FE972482B}"/>
    <hyperlink ref="B177" r:id="rId13" xr:uid="{E2187AA9-53BE-4C1D-AA4C-479ECDD3F24C}"/>
    <hyperlink ref="D197" r:id="rId14" xr:uid="{C9BCD8C8-9DE3-45AC-BE99-B012F6D49CDE}"/>
    <hyperlink ref="B203" r:id="rId15" xr:uid="{73569C99-9EB8-46E4-81C0-553DBFFA463A}"/>
    <hyperlink ref="B69" r:id="rId16" xr:uid="{AE4A4D15-C5CA-42BC-A973-EB1D74562126}"/>
    <hyperlink ref="B47" r:id="rId17" xr:uid="{EB60ABCE-F56B-480C-9525-48620207AF25}"/>
    <hyperlink ref="B138" r:id="rId18" xr:uid="{7CE4F805-D5AD-49DE-A5A8-F23DFC630E24}"/>
    <hyperlink ref="B148" r:id="rId19" xr:uid="{AD1B46F8-819E-4E27-A1A6-A04AF759CF2C}"/>
    <hyperlink ref="B80" r:id="rId20" xr:uid="{499B979A-1267-4A71-88F7-AE47F51C69F3}"/>
    <hyperlink ref="B30" r:id="rId21" xr:uid="{C382916F-E392-421C-BDC4-D5E8D93C79E7}"/>
    <hyperlink ref="B46" r:id="rId22" xr:uid="{3B8F7B70-88AA-4F37-8675-DBD35E8206C6}"/>
    <hyperlink ref="B61" r:id="rId23" xr:uid="{B3A6033B-288C-4B9D-A902-1D5C41D7A18F}"/>
    <hyperlink ref="B67" r:id="rId24" xr:uid="{62D896C3-B0BC-4A92-B759-002C28430B3F}"/>
    <hyperlink ref="B137" r:id="rId25" xr:uid="{A78D964A-DDE3-4973-9CA8-EEB0574D0393}"/>
    <hyperlink ref="B146" r:id="rId26" xr:uid="{72FB6091-1E95-429C-90E4-160773BA6911}"/>
  </hyperlinks>
  <pageMargins left="0.33217592592592593" right="0.25624999999999998" top="0.75" bottom="0.75" header="0.3" footer="0.3"/>
  <pageSetup scale="81" orientation="portrait" r:id="rId27"/>
  <headerFooter differentFirst="1" scaleWithDoc="0" alignWithMargins="0">
    <firstHeader>&amp;C&amp;G</firstHeader>
  </headerFooter>
  <drawing r:id="rId28"/>
  <legacyDrawingHF r:id="rId29"/>
  <extLst>
    <ext xmlns:x14="http://schemas.microsoft.com/office/spreadsheetml/2009/9/main" uri="{CCE6A557-97BC-4b89-ADB6-D9C93CAAB3DF}">
      <x14:dataValidations xmlns:xm="http://schemas.microsoft.com/office/excel/2006/main" count="53">
        <x14:dataValidation type="list" allowBlank="1" showInputMessage="1" showErrorMessage="1" xr:uid="{41E073D5-870F-4D5F-A601-96587C4DA1E5}">
          <x14:formula1>
            <xm:f>Data!$P$2:$P$23</xm:f>
          </x14:formula1>
          <xm:sqref>G30 C50</xm:sqref>
        </x14:dataValidation>
        <x14:dataValidation type="list" allowBlank="1" showInputMessage="1" showErrorMessage="1" xr:uid="{4E1359F1-8172-441C-AA04-47DBEDF6E2CA}">
          <x14:formula1>
            <xm:f>Data!$P$3:$P$26</xm:f>
          </x14:formula1>
          <xm:sqref>C117 C188</xm:sqref>
        </x14:dataValidation>
        <x14:dataValidation type="list" allowBlank="1" showInputMessage="1" showErrorMessage="1" xr:uid="{AA063ED9-32BF-49BE-8C7B-80D09BF97145}">
          <x14:formula1>
            <xm:f>Data!$P$36:$P$47</xm:f>
          </x14:formula1>
          <xm:sqref>C107 C179</xm:sqref>
        </x14:dataValidation>
        <x14:dataValidation type="list" allowBlank="1" showInputMessage="1" showErrorMessage="1" xr:uid="{A71FA123-3757-4FA6-B0E9-44344C78DE7F}">
          <x14:formula1>
            <xm:f>Data!$P$33:$P$35</xm:f>
          </x14:formula1>
          <xm:sqref>F106 F178</xm:sqref>
        </x14:dataValidation>
        <x14:dataValidation type="list" allowBlank="1" showInputMessage="1" showErrorMessage="1" xr:uid="{2B37337C-4C5C-45CB-B047-529825A4EB48}">
          <x14:formula1>
            <xm:f>Data!$P$53:$P$55</xm:f>
          </x14:formula1>
          <xm:sqref>G107 G179</xm:sqref>
        </x14:dataValidation>
        <x14:dataValidation type="list" allowBlank="1" showInputMessage="1" showErrorMessage="1" xr:uid="{03F5DBEE-46C4-4054-B824-4378C282F71E}">
          <x14:formula1>
            <xm:f>Data!$P$51:$P$52</xm:f>
          </x14:formula1>
          <xm:sqref>H106 H178</xm:sqref>
        </x14:dataValidation>
        <x14:dataValidation type="list" allowBlank="1" showInputMessage="1" showErrorMessage="1" xr:uid="{71CC5581-C16B-42AD-B847-9C1B14F1D41C}">
          <x14:formula1>
            <xm:f>Data!$P$48:$P$50</xm:f>
          </x14:formula1>
          <xm:sqref>C108 C180</xm:sqref>
        </x14:dataValidation>
        <x14:dataValidation type="list" allowBlank="1" showInputMessage="1" showErrorMessage="1" xr:uid="{2C95A065-5875-4595-8C43-AB1F7E1F501D}">
          <x14:formula1>
            <xm:f>Data!$P$57:$P$59</xm:f>
          </x14:formula1>
          <xm:sqref>F111 F183</xm:sqref>
        </x14:dataValidation>
        <x14:dataValidation type="list" allowBlank="1" showInputMessage="1" showErrorMessage="1" xr:uid="{1322FCAA-BBC3-4860-BF84-5E7C4A2CF8B7}">
          <x14:formula1>
            <xm:f>Data!$P$56</xm:f>
          </x14:formula1>
          <xm:sqref>G108 G180</xm:sqref>
        </x14:dataValidation>
        <x14:dataValidation type="list" allowBlank="1" showInputMessage="1" showErrorMessage="1" xr:uid="{879AE2A5-C0FC-4FB6-A6C1-357FF80C7C93}">
          <x14:formula1>
            <xm:f>Data!$P$27:$P$31</xm:f>
          </x14:formula1>
          <xm:sqref>C106:D106 C178:D178</xm:sqref>
        </x14:dataValidation>
        <x14:dataValidation type="list" allowBlank="1" showInputMessage="1" showErrorMessage="1" xr:uid="{041F4290-796A-4424-9BB7-94FB40D31429}">
          <x14:formula1>
            <xm:f>Data!$P$79:$P$84</xm:f>
          </x14:formula1>
          <xm:sqref>C42:D42</xm:sqref>
        </x14:dataValidation>
        <x14:dataValidation type="list" allowBlank="1" showInputMessage="1" showErrorMessage="1" xr:uid="{CFDB1B4E-5DEB-4550-93AB-AB75014378CF}">
          <x14:formula1>
            <xm:f>Data!$P$127:$P$135</xm:f>
          </x14:formula1>
          <xm:sqref>C92 C163</xm:sqref>
        </x14:dataValidation>
        <x14:dataValidation type="list" allowBlank="1" showInputMessage="1" showErrorMessage="1" xr:uid="{E6FD6310-E1B3-4035-AB14-009A5002CF70}">
          <x14:formula1>
            <xm:f>Data!$P$118:$P$125</xm:f>
          </x14:formula1>
          <xm:sqref>C203</xm:sqref>
        </x14:dataValidation>
        <x14:dataValidation type="list" allowBlank="1" showInputMessage="1" showErrorMessage="1" xr:uid="{26C6B153-65D7-40DF-A6BE-7D616710709B}">
          <x14:formula1>
            <xm:f>Data!$P$98:$P$103</xm:f>
          </x14:formula1>
          <xm:sqref>C171:D171 C99:D99</xm:sqref>
        </x14:dataValidation>
        <x14:dataValidation type="list" allowBlank="1" showInputMessage="1" showErrorMessage="1" xr:uid="{CBE86457-5DB1-4311-8BBE-C12C93B32599}">
          <x14:formula1>
            <xm:f>Data!$P$73:$P$78</xm:f>
          </x14:formula1>
          <xm:sqref>C35:D35</xm:sqref>
        </x14:dataValidation>
        <x14:dataValidation type="list" allowBlank="1" showInputMessage="1" showErrorMessage="1" xr:uid="{0F38FE71-8756-4C57-88B0-41F758CE2B4D}">
          <x14:formula1>
            <xm:f>Data!$P$111:$P$113</xm:f>
          </x14:formula1>
          <xm:sqref>C55:D55</xm:sqref>
        </x14:dataValidation>
        <x14:dataValidation type="list" allowBlank="1" showInputMessage="1" showErrorMessage="1" xr:uid="{A9996F94-E090-4DDC-BDAB-29E6A8FA5D78}">
          <x14:formula1>
            <xm:f>Data!$P$92:$P$97</xm:f>
          </x14:formula1>
          <xm:sqref>C89:D89 C160:D160</xm:sqref>
        </x14:dataValidation>
        <x14:dataValidation type="list" allowBlank="1" showInputMessage="1" showErrorMessage="1" xr:uid="{3A2E6C67-D1AE-4C16-85F0-5745BF875C84}">
          <x14:formula1>
            <xm:f>Data!$P$140:$P$145</xm:f>
          </x14:formula1>
          <xm:sqref>G116 G187</xm:sqref>
        </x14:dataValidation>
        <x14:dataValidation type="list" allowBlank="1" showInputMessage="1" showErrorMessage="1" xr:uid="{CB28A833-C970-4903-B114-E0703B046D72}">
          <x14:formula1>
            <xm:f>Data!$P$146</xm:f>
          </x14:formula1>
          <xm:sqref>H188</xm:sqref>
        </x14:dataValidation>
        <x14:dataValidation type="list" allowBlank="1" showInputMessage="1" showErrorMessage="1" xr:uid="{420B4551-CAEF-46BD-B7FE-4A1B6050C59D}">
          <x14:formula1>
            <xm:f>Data!$P$147:$P$163</xm:f>
          </x14:formula1>
          <xm:sqref>C116 C187</xm:sqref>
        </x14:dataValidation>
        <x14:dataValidation type="list" allowBlank="1" showInputMessage="1" showErrorMessage="1" xr:uid="{75DC437E-9119-4689-8C79-BB40B79741C5}">
          <x14:formula1>
            <xm:f>Data!$P$164:$P$169</xm:f>
          </x14:formula1>
          <xm:sqref>C43 C164 G118</xm:sqref>
        </x14:dataValidation>
        <x14:dataValidation type="list" allowBlank="1" showInputMessage="1" showErrorMessage="1" xr:uid="{963E207C-BC3C-490E-A6C4-C89BF952FB42}">
          <x14:formula1>
            <xm:f>Data!$P$187:$P$188</xm:f>
          </x14:formula1>
          <xm:sqref>C37</xm:sqref>
        </x14:dataValidation>
        <x14:dataValidation type="list" allowBlank="1" showInputMessage="1" showErrorMessage="1" xr:uid="{422510CE-BBB9-47AB-96F7-576EE9DD06F2}">
          <x14:formula1>
            <xm:f>Data!$P$176:$P$180</xm:f>
          </x14:formula1>
          <xm:sqref>C111 C183</xm:sqref>
        </x14:dataValidation>
        <x14:dataValidation type="list" allowBlank="1" showInputMessage="1" showErrorMessage="1" xr:uid="{39B15F7B-DF08-4282-8A86-0A0F7582C17D}">
          <x14:formula1>
            <xm:f>Data!$P$170:$P$175</xm:f>
          </x14:formula1>
          <xm:sqref>F112 F184</xm:sqref>
        </x14:dataValidation>
        <x14:dataValidation type="list" allowBlank="1" showInputMessage="1" showErrorMessage="1" xr:uid="{24F6D2CE-90D8-41AB-AB2E-5ED3BD956FCA}">
          <x14:formula1>
            <xm:f>Data!$P$181:$P$186</xm:f>
          </x14:formula1>
          <xm:sqref>C112:D112 C184:D184</xm:sqref>
        </x14:dataValidation>
        <x14:dataValidation type="list" allowBlank="1" showInputMessage="1" showErrorMessage="1" xr:uid="{674A6824-F243-4BF3-A1F7-D10D0A2410EE}">
          <x14:formula1>
            <xm:f>Data!$B$4:$B$6</xm:f>
          </x14:formula1>
          <xm:sqref>C29</xm:sqref>
        </x14:dataValidation>
        <x14:dataValidation type="list" allowBlank="1" showInputMessage="1" showErrorMessage="1" xr:uid="{F3E5C522-CC6D-4D53-8290-ECE5A8E24760}">
          <x14:formula1>
            <xm:f>Data!$G$2:$G$3</xm:f>
          </x14:formula1>
          <xm:sqref>C47 C138</xm:sqref>
        </x14:dataValidation>
        <x14:dataValidation type="list" allowBlank="1" showInputMessage="1" showErrorMessage="1" xr:uid="{8EBBE3D7-804D-4A96-8B3A-31C5C82A0441}">
          <x14:formula1>
            <xm:f>Data!$G$4:$G$20</xm:f>
          </x14:formula1>
          <xm:sqref>C69:E69 C148:E148</xm:sqref>
        </x14:dataValidation>
        <x14:dataValidation type="list" allowBlank="1" showInputMessage="1" showErrorMessage="1" xr:uid="{DBF44539-47E7-4D7F-81A2-50E514580B2C}">
          <x14:formula1>
            <xm:f>Data!$G$21:$G$42</xm:f>
          </x14:formula1>
          <xm:sqref>C70:E76 C149:E155</xm:sqref>
        </x14:dataValidation>
        <x14:dataValidation type="list" allowBlank="1" showInputMessage="1" showErrorMessage="1" xr:uid="{C4122D04-823E-4AA5-842E-652AE340F6C2}">
          <x14:formula1>
            <xm:f>Data!$K$3:$K$7</xm:f>
          </x14:formula1>
          <xm:sqref>C30</xm:sqref>
        </x14:dataValidation>
        <x14:dataValidation type="list" allowBlank="1" showInputMessage="1" showErrorMessage="1" xr:uid="{A116AECD-B72F-4DF6-9822-FC04FB33893D}">
          <x14:formula1>
            <xm:f>Data!$K$10:$K$16</xm:f>
          </x14:formula1>
          <xm:sqref>C61 C132</xm:sqref>
        </x14:dataValidation>
        <x14:dataValidation type="list" allowBlank="1" showInputMessage="1" showErrorMessage="1" xr:uid="{21311DBB-3140-46BE-BEFC-0C1FA551DEE0}">
          <x14:formula1>
            <xm:f>Data!$K$19:$K$22</xm:f>
          </x14:formula1>
          <xm:sqref>C46</xm:sqref>
        </x14:dataValidation>
        <x14:dataValidation type="list" allowBlank="1" showInputMessage="1" showErrorMessage="1" xr:uid="{DF0EC20B-3BF1-4E75-BE97-F9BE81F66310}">
          <x14:formula1>
            <xm:f>Data!$K$19:$K$20</xm:f>
          </x14:formula1>
          <xm:sqref>C137:D137</xm:sqref>
        </x14:dataValidation>
        <x14:dataValidation type="list" allowBlank="1" showInputMessage="1" showErrorMessage="1" xr:uid="{02096134-2C50-43A5-B5EF-EFEDCFF7DEBC}">
          <x14:formula1>
            <xm:f>Data!$K$25:$K$31</xm:f>
          </x14:formula1>
          <xm:sqref>C67 C146</xm:sqref>
        </x14:dataValidation>
        <x14:dataValidation type="list" allowBlank="1" showInputMessage="1" showErrorMessage="1" xr:uid="{2E400EEB-2A97-4DDC-AE2E-3DA78399454C}">
          <x14:formula1>
            <xm:f>Data!$G$47:$G$48</xm:f>
          </x14:formula1>
          <xm:sqref>C62</xm:sqref>
        </x14:dataValidation>
        <x14:dataValidation type="list" allowBlank="1" showInputMessage="1" showErrorMessage="1" xr:uid="{254D96F6-755C-42FE-9E0B-31DAD67E4B9A}">
          <x14:formula1>
            <xm:f>Data!$B$10:$B$11</xm:f>
          </x14:formula1>
          <xm:sqref>C210:C214</xm:sqref>
        </x14:dataValidation>
        <x14:dataValidation type="list" allowBlank="1" showInputMessage="1" showErrorMessage="1" xr:uid="{C261C49B-CA2E-409F-911B-1BD58A6A2F35}">
          <x14:formula1>
            <xm:f>Data!$B$15:$B$18</xm:f>
          </x14:formula1>
          <xm:sqref>E29</xm:sqref>
        </x14:dataValidation>
        <x14:dataValidation type="list" allowBlank="1" showInputMessage="1" showErrorMessage="1" xr:uid="{324FC2B6-2A0B-4E27-A096-8D7625380549}">
          <x14:formula1>
            <xm:f>Data!$B$21:$B$24</xm:f>
          </x14:formula1>
          <xm:sqref>C207:C209</xm:sqref>
        </x14:dataValidation>
        <x14:dataValidation type="list" allowBlank="1" showInputMessage="1" showErrorMessage="1" xr:uid="{635EBCFA-4A99-4F85-9914-453D5EF7C72B}">
          <x14:formula1>
            <xm:f>Data!$K$33:$K$35</xm:f>
          </x14:formula1>
          <xm:sqref>C201:C202</xm:sqref>
        </x14:dataValidation>
        <x14:dataValidation type="list" allowBlank="1" showInputMessage="1" showErrorMessage="1" xr:uid="{A4E5F099-A033-4E7B-9D17-A86168B6C226}">
          <x14:formula1>
            <xm:f>Data!$C$28:$C$29</xm:f>
          </x14:formula1>
          <xm:sqref>C31</xm:sqref>
        </x14:dataValidation>
        <x14:dataValidation type="list" allowBlank="1" showInputMessage="1" showErrorMessage="1" xr:uid="{2E3A230B-DEE3-46D2-878F-A380CFF50263}">
          <x14:formula1>
            <xm:f>Data!$C$35:$C$44</xm:f>
          </x14:formula1>
          <xm:sqref>F46 F137 H137 H46</xm:sqref>
        </x14:dataValidation>
        <x14:dataValidation type="list" allowBlank="1" showInputMessage="1" showErrorMessage="1" xr:uid="{D5575564-3D5E-423E-B773-C756D01FCAE5}">
          <x14:formula1>
            <xm:f>Data!$C$40:$C$43</xm:f>
          </x14:formula1>
          <xm:sqref>G67 G146</xm:sqref>
        </x14:dataValidation>
        <x14:dataValidation type="list" allowBlank="1" showInputMessage="1" showErrorMessage="1" xr:uid="{541EFA26-6DFD-4353-A5EF-07AE41D9643B}">
          <x14:formula1>
            <xm:f>Data!$C$42:$C$50</xm:f>
          </x14:formula1>
          <xm:sqref>I67 I146</xm:sqref>
        </x14:dataValidation>
        <x14:dataValidation type="list" allowBlank="1" showInputMessage="1" showErrorMessage="1" xr:uid="{801893BB-D17A-4435-8825-0BA0B2D785F8}">
          <x14:formula1>
            <xm:f>Data!$B$31:$B$33</xm:f>
          </x14:formula1>
          <xm:sqref>G6:G7</xm:sqref>
        </x14:dataValidation>
        <x14:dataValidation type="list" allowBlank="1" showInputMessage="1" showErrorMessage="1" xr:uid="{5B759065-B89F-4084-9BD9-E267517A3326}">
          <x14:formula1>
            <xm:f>Data!$B$28:$B$29</xm:f>
          </x14:formula1>
          <xm:sqref>C41 E25 G197 C197 C101 C98 C162 C170 C86 C91</xm:sqref>
        </x14:dataValidation>
        <x14:dataValidation type="list" allowBlank="1" showInputMessage="1" showErrorMessage="1" xr:uid="{6D5B068D-E5B7-4F96-8F57-23613204FA0B}">
          <x14:formula1>
            <xm:f>Data!$B$35:$B$40</xm:f>
          </x14:formula1>
          <xm:sqref>C118 C189 H117</xm:sqref>
        </x14:dataValidation>
        <x14:dataValidation type="list" allowBlank="1" showInputMessage="1" showErrorMessage="1" xr:uid="{6CA81DC5-1738-453A-A083-9BC1620949D6}">
          <x14:formula1>
            <xm:f>Data!$B$42:$B$43</xm:f>
          </x14:formula1>
          <xm:sqref>C82:C84</xm:sqref>
        </x14:dataValidation>
        <x14:dataValidation type="list" allowBlank="1" showInputMessage="1" showErrorMessage="1" xr:uid="{91FAD47B-D60E-466C-9EAA-6D50017636B7}">
          <x14:formula1>
            <xm:f>Data!$B$45:$B$53</xm:f>
          </x14:formula1>
          <xm:sqref>D82:D84</xm:sqref>
        </x14:dataValidation>
        <x14:dataValidation type="list" allowBlank="1" showInputMessage="1" showErrorMessage="1" xr:uid="{688C169E-AA23-4C56-9A4A-619B734F79F4}">
          <x14:formula1>
            <xm:f>Data!#REF!</xm:f>
          </x14:formula1>
          <xm:sqref>C118 C189</xm:sqref>
        </x14:dataValidation>
        <x14:dataValidation type="list" allowBlank="1" showErrorMessage="1" xr:uid="{4B72D8C0-9CC7-4C43-BA6B-0C5F0CBCEA30}">
          <x14:formula1>
            <xm:f>Data!$B$28:$B$29</xm:f>
          </x14:formula1>
          <xm:sqref>C25</xm:sqref>
        </x14:dataValidation>
        <x14:dataValidation type="list" allowBlank="1" showInputMessage="1" showErrorMessage="1" xr:uid="{1431ECE4-E4FC-4F35-9BFB-60D41597A8F9}">
          <x14:formula1>
            <xm:f>Data!$U$25:$U$33</xm:f>
          </x14:formula1>
          <xm:sqref>E138:I140 E47:I49</xm:sqref>
        </x14:dataValidation>
        <x14:dataValidation type="list" allowBlank="1" showInputMessage="1" showErrorMessage="1" xr:uid="{08A37C4B-CD26-4B62-990B-9F10B9EEF351}">
          <x14:formula1>
            <xm:f>Data!$U$34:$U$42</xm:f>
          </x14:formula1>
          <xm:sqref>E141:I143 E50:I52</xm:sqref>
        </x14:dataValidation>
        <x14:dataValidation type="list" allowBlank="1" showInputMessage="1" showErrorMessage="1" xr:uid="{9E57B7EF-F919-49A1-A1FE-7B18AF4A2F3E}">
          <x14:formula1>
            <xm:f>Data!$C$54:$C$83</xm:f>
          </x14:formula1>
          <xm:sqref>G201:G202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2A7C9-70D7-4CDB-B0B7-2266FDCDA5C5}">
  <sheetPr codeName="Hoja4"/>
  <dimension ref="A1:S41"/>
  <sheetViews>
    <sheetView topLeftCell="B1" workbookViewId="0">
      <selection activeCell="L11" sqref="L11"/>
    </sheetView>
  </sheetViews>
  <sheetFormatPr baseColWidth="10" defaultRowHeight="15"/>
  <cols>
    <col min="1" max="1" width="14.5703125" customWidth="1"/>
    <col min="2" max="2" width="33.5703125" bestFit="1" customWidth="1"/>
    <col min="3" max="3" width="5.7109375" bestFit="1" customWidth="1"/>
    <col min="4" max="4" width="27.42578125" bestFit="1" customWidth="1"/>
    <col min="5" max="5" width="15.28515625" bestFit="1" customWidth="1"/>
    <col min="6" max="6" width="17.85546875" bestFit="1" customWidth="1"/>
    <col min="7" max="7" width="29.28515625" bestFit="1" customWidth="1"/>
    <col min="8" max="8" width="18.42578125" bestFit="1" customWidth="1"/>
    <col min="9" max="9" width="18" bestFit="1" customWidth="1"/>
    <col min="10" max="10" width="18.42578125" bestFit="1" customWidth="1"/>
    <col min="11" max="11" width="23.5703125" bestFit="1" customWidth="1"/>
    <col min="12" max="12" width="14" bestFit="1" customWidth="1"/>
    <col min="13" max="13" width="12.85546875" bestFit="1" customWidth="1"/>
    <col min="14" max="14" width="16.140625" bestFit="1" customWidth="1"/>
    <col min="15" max="16" width="20.5703125" bestFit="1" customWidth="1"/>
    <col min="17" max="17" width="27" bestFit="1" customWidth="1"/>
    <col min="18" max="18" width="23.5703125" bestFit="1" customWidth="1"/>
    <col min="19" max="19" width="13.5703125" bestFit="1" customWidth="1"/>
  </cols>
  <sheetData>
    <row r="1" spans="1:19">
      <c r="A1" s="20" t="s">
        <v>356</v>
      </c>
      <c r="B1" s="20" t="s">
        <v>357</v>
      </c>
      <c r="C1" s="20" t="s">
        <v>359</v>
      </c>
      <c r="D1" s="20" t="s">
        <v>585</v>
      </c>
      <c r="E1" s="20" t="s">
        <v>586</v>
      </c>
      <c r="F1" s="20" t="s">
        <v>587</v>
      </c>
      <c r="G1" s="20" t="s">
        <v>102</v>
      </c>
      <c r="H1" s="20" t="s">
        <v>121</v>
      </c>
      <c r="I1" s="20" t="s">
        <v>427</v>
      </c>
      <c r="J1" s="20" t="s">
        <v>122</v>
      </c>
      <c r="K1" s="20" t="s">
        <v>212</v>
      </c>
      <c r="L1" s="20" t="s">
        <v>214</v>
      </c>
      <c r="M1" s="20" t="s">
        <v>215</v>
      </c>
      <c r="N1" s="20" t="s">
        <v>123</v>
      </c>
      <c r="O1" s="20" t="s">
        <v>129</v>
      </c>
      <c r="P1" s="20" t="s">
        <v>142</v>
      </c>
      <c r="Q1" s="20" t="s">
        <v>428</v>
      </c>
      <c r="R1" s="20" t="s">
        <v>132</v>
      </c>
      <c r="S1" s="20" t="s">
        <v>584</v>
      </c>
    </row>
    <row r="2" spans="1:19">
      <c r="A2" s="66" t="str">
        <f>IF(Planner!$G$145="","",Planner!$G$145)</f>
        <v>MM/DD/YY</v>
      </c>
      <c r="B2" s="25" t="str">
        <f>Planner!$C$6 &amp; " &amp; " &amp; Planner!$C$7</f>
        <v xml:space="preserve"> &amp; </v>
      </c>
      <c r="C2" s="25">
        <f>Planner!$C$23+Planner!$E$23+Planner!$G$23+Planner!$I$23</f>
        <v>0</v>
      </c>
      <c r="D2" s="28" t="s">
        <v>474</v>
      </c>
      <c r="E2" s="25" t="str">
        <f>IF(Planner!$C$146="","",Planner!$C$146)</f>
        <v/>
      </c>
      <c r="F2" s="25" t="str">
        <f>IF(Planner!$G$146="","",Planner!$G$146 &amp; " - " &amp; Planner!$I$146)</f>
        <v/>
      </c>
      <c r="G2" s="71" t="str">
        <f>_xlfn.TEXTJOIN(" &amp; ", TRUE, Planner!C178,Planner!F178,Planner!H178,Planner!C179,Planner!G179,Planner!G180,Planner!F183)</f>
        <v/>
      </c>
      <c r="H2" t="str">
        <f>IF(Planner!C160="","",Planner!C160)</f>
        <v/>
      </c>
      <c r="I2" t="str">
        <f>IF(Planner!C188="","",Planner!C188)</f>
        <v/>
      </c>
      <c r="J2" t="str">
        <f>IF(Planner!C160="","",Planner!C160)</f>
        <v/>
      </c>
      <c r="K2" t="str">
        <f>IF(Planner!C171="","",Planner!C171)</f>
        <v/>
      </c>
      <c r="M2" t="str">
        <f>IF(Planner!C163="","",Planner!C163)</f>
        <v/>
      </c>
      <c r="N2" t="str">
        <f>IF(Planner!G187="","",Planner!G187)</f>
        <v/>
      </c>
      <c r="O2" t="str">
        <f>IF(Planner!C187="","",Planner!C187)</f>
        <v/>
      </c>
      <c r="P2" t="str">
        <f>IF(Planner!C187="","",Planner!C187)</f>
        <v/>
      </c>
      <c r="Q2" t="str">
        <f>IF(Planner!C164="","",Planner!C164)</f>
        <v/>
      </c>
      <c r="R2" s="71" t="str">
        <f>_xlfn.TEXTJOIN(" &amp; ", TRUE, Planner!C183,Planner!C184,Planner!F184)</f>
        <v/>
      </c>
    </row>
    <row r="3" spans="1:19">
      <c r="A3" s="66" t="str">
        <f>IF(Planner!$C$5="","",Planner!$C$5)</f>
        <v>MM/DD/YY</v>
      </c>
      <c r="B3" s="25" t="str">
        <f>Planner!$C$6 &amp; " &amp; " &amp; Planner!$C$7</f>
        <v xml:space="preserve"> &amp; </v>
      </c>
      <c r="C3" s="25">
        <f>Planner!$C$23+Planner!$E$23+Planner!$G$23+Planner!$I$23</f>
        <v>0</v>
      </c>
      <c r="D3" s="30" t="s">
        <v>361</v>
      </c>
      <c r="E3" s="25" t="str">
        <f>IF(Planner!$C$30="","",Planner!$C$30)</f>
        <v/>
      </c>
      <c r="F3" s="25" t="str">
        <f>IF(Planner!$C$31="","",Planner!$C$31)</f>
        <v/>
      </c>
      <c r="G3" s="71"/>
      <c r="H3" t="str">
        <f>IF(Planner!$C$35="","",Planner!$C$35)</f>
        <v/>
      </c>
      <c r="I3" t="str">
        <f>IF(Planner!$G$30="","",Planner!$G$30)</f>
        <v/>
      </c>
      <c r="J3" t="str">
        <f>IF(Planner!$C$35="","",Planner!$C$35)</f>
        <v/>
      </c>
      <c r="K3" t="str">
        <f>IF(Planner!C42="","",Planner!C42)</f>
        <v/>
      </c>
      <c r="Q3" t="str">
        <f>IF(Planner!C43="","",Planner!C43)</f>
        <v/>
      </c>
      <c r="R3" s="71" t="str">
        <f>IF(Planner!C37="","",Planner!C37)</f>
        <v/>
      </c>
      <c r="S3" t="str">
        <f>IF(Planner!E29="","",Planner!E29)</f>
        <v/>
      </c>
    </row>
    <row r="4" spans="1:19">
      <c r="A4" s="66" t="str">
        <f>IF(Planner!$C$5="","",Planner!$C$5)</f>
        <v>MM/DD/YY</v>
      </c>
      <c r="B4" s="25" t="str">
        <f>Planner!$C$6 &amp; " &amp; " &amp; Planner!$C$7</f>
        <v xml:space="preserve"> &amp; </v>
      </c>
      <c r="C4" s="25">
        <f>Planner!$C$23+Planner!$E$23+Planner!$G$23+Planner!$I$23</f>
        <v>0</v>
      </c>
      <c r="D4" s="28" t="s">
        <v>467</v>
      </c>
      <c r="E4" s="25" t="str">
        <f>IF(Planner!$C$46="","",Planner!$C$46)</f>
        <v/>
      </c>
      <c r="F4" s="25" t="str">
        <f>IF(Planner!$F$46="","",Planner!$F$46 &amp; " - " &amp; Planner!$H$46)</f>
        <v/>
      </c>
      <c r="G4" s="71"/>
      <c r="I4" t="str">
        <f>IF(Planner!C50="","",Planner!C50)</f>
        <v/>
      </c>
      <c r="J4" t="str">
        <f>IF(Planner!C55="","",Planner!C55)</f>
        <v/>
      </c>
      <c r="R4" s="71"/>
    </row>
    <row r="5" spans="1:19">
      <c r="A5" s="66" t="str">
        <f>IF(Planner!$C$5="","",Planner!$C$5)</f>
        <v>MM/DD/YY</v>
      </c>
      <c r="B5" s="25" t="str">
        <f>Planner!$C$6 &amp; " &amp; " &amp; Planner!$C$7</f>
        <v xml:space="preserve"> &amp; </v>
      </c>
      <c r="C5" s="25">
        <f>Planner!$C$23+Planner!$E$23+Planner!$G$23+Planner!$I$23</f>
        <v>0</v>
      </c>
      <c r="D5" s="28" t="s">
        <v>476</v>
      </c>
      <c r="E5" s="25" t="str">
        <f>IF(Planner!$C$67="","",Planner!$C$67)</f>
        <v/>
      </c>
      <c r="F5" s="25" t="str">
        <f>IF(Planner!$G$67="","",Planner!$G$67&amp;" - "&amp;Planner!$I$67)</f>
        <v/>
      </c>
      <c r="G5" s="70" t="str">
        <f>_xlfn.TEXTJOIN(" &amp; ", TRUE, Planner!$C$106,Planner!$F$106,Planner!$H$106,Planner!$C$107,Planner!$G$107,Planner!$G$108,Planner!$F$111)</f>
        <v/>
      </c>
      <c r="H5" t="str">
        <f>IF(Planner!C89="","",Planner!C89)</f>
        <v/>
      </c>
      <c r="I5" t="str">
        <f>IF(Planner!C117="","",Planner!C117)</f>
        <v/>
      </c>
      <c r="J5" t="str">
        <f>IF(Planner!C89="","",Planner!C89)</f>
        <v/>
      </c>
      <c r="K5" t="str">
        <f>IF(Planner!C99="","",Planner!C99)</f>
        <v/>
      </c>
      <c r="M5" t="str">
        <f>IF(Planner!C92="","",Planner!C92)</f>
        <v/>
      </c>
      <c r="N5" t="str">
        <f>IF(Planner!G116="","",Planner!G116)</f>
        <v/>
      </c>
      <c r="O5" t="str">
        <f>IF(Planner!C116="","",Planner!C116)</f>
        <v/>
      </c>
      <c r="P5" t="str">
        <f>IF(Planner!C116="","",Planner!C116)</f>
        <v/>
      </c>
      <c r="Q5" t="str">
        <f>IF(Planner!G118="","",Planner!G118)</f>
        <v/>
      </c>
      <c r="R5" s="71" t="str">
        <f>_xlfn.TEXTJOIN(" &amp; ", TRUE, Planner!C111,Planner!C112,Planner!F112)</f>
        <v/>
      </c>
    </row>
    <row r="6" spans="1:19">
      <c r="A6" s="66"/>
      <c r="B6" s="25" t="str">
        <f>Planner!$C$6 &amp; " &amp; " &amp; Planner!$C$7</f>
        <v xml:space="preserve"> &amp; </v>
      </c>
      <c r="C6" s="25"/>
      <c r="D6" s="28" t="s">
        <v>588</v>
      </c>
      <c r="E6" s="69"/>
      <c r="G6" s="71"/>
      <c r="L6" t="str">
        <f>IF(Planner!C203="","",Planner!C203)</f>
        <v/>
      </c>
      <c r="M6" t="str">
        <f>IF(Planner!E197="","",Planner!E197)</f>
        <v/>
      </c>
      <c r="R6" s="71"/>
    </row>
    <row r="7" spans="1:19">
      <c r="A7" s="21"/>
      <c r="R7" s="71"/>
    </row>
    <row r="8" spans="1:19">
      <c r="A8" s="21"/>
      <c r="R8" s="71"/>
    </row>
    <row r="9" spans="1:19">
      <c r="A9" s="21"/>
    </row>
    <row r="10" spans="1:19">
      <c r="A10" s="21"/>
    </row>
    <row r="11" spans="1:19">
      <c r="A11" s="21"/>
    </row>
    <row r="12" spans="1:19">
      <c r="A12" s="21"/>
    </row>
    <row r="13" spans="1:19">
      <c r="A13" s="21"/>
    </row>
    <row r="14" spans="1:19">
      <c r="A14" s="21"/>
    </row>
    <row r="15" spans="1:19">
      <c r="A15" s="21"/>
    </row>
    <row r="16" spans="1:19">
      <c r="A16" s="21"/>
    </row>
    <row r="17" spans="1:1">
      <c r="A17" s="21"/>
    </row>
    <row r="18" spans="1:1">
      <c r="A18" s="21"/>
    </row>
    <row r="19" spans="1:1">
      <c r="A19" s="21"/>
    </row>
    <row r="20" spans="1:1">
      <c r="A20" s="21"/>
    </row>
    <row r="21" spans="1:1">
      <c r="A21" s="21"/>
    </row>
    <row r="22" spans="1:1">
      <c r="A22" s="21"/>
    </row>
    <row r="23" spans="1:1">
      <c r="A23" s="21"/>
    </row>
    <row r="24" spans="1:1">
      <c r="A24" s="21"/>
    </row>
    <row r="25" spans="1:1">
      <c r="A25" s="21"/>
    </row>
    <row r="26" spans="1:1">
      <c r="A26" s="21"/>
    </row>
    <row r="27" spans="1:1">
      <c r="A27" s="21"/>
    </row>
    <row r="28" spans="1:1">
      <c r="A28" s="21"/>
    </row>
    <row r="29" spans="1:1">
      <c r="A29" s="21"/>
    </row>
    <row r="30" spans="1:1">
      <c r="A30" s="21"/>
    </row>
    <row r="31" spans="1:1">
      <c r="A31" s="21"/>
    </row>
    <row r="32" spans="1:1">
      <c r="A32" s="21"/>
    </row>
    <row r="33" spans="1:1">
      <c r="A33" s="21"/>
    </row>
    <row r="34" spans="1:1">
      <c r="A34" s="21"/>
    </row>
    <row r="35" spans="1:1">
      <c r="A35" s="21"/>
    </row>
    <row r="36" spans="1:1">
      <c r="A36" s="21"/>
    </row>
    <row r="37" spans="1:1">
      <c r="A37" s="21"/>
    </row>
    <row r="38" spans="1:1">
      <c r="A38" s="21"/>
    </row>
    <row r="39" spans="1:1">
      <c r="A39" s="21"/>
    </row>
    <row r="40" spans="1:1">
      <c r="A40" s="21"/>
    </row>
    <row r="41" spans="1:1">
      <c r="A41" s="2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15B6-06BE-4E27-A86A-EE426395457E}">
  <sheetPr codeName="Hoja5"/>
  <dimension ref="A1:K14"/>
  <sheetViews>
    <sheetView zoomScale="80" zoomScaleNormal="80" workbookViewId="0">
      <selection activeCell="I19" sqref="I19"/>
    </sheetView>
  </sheetViews>
  <sheetFormatPr baseColWidth="10" defaultColWidth="11.42578125" defaultRowHeight="15"/>
  <cols>
    <col min="1" max="2" width="11.42578125" style="24"/>
    <col min="3" max="3" width="41" style="24" bestFit="1" customWidth="1"/>
    <col min="4" max="4" width="11.42578125" style="24"/>
    <col min="5" max="5" width="21.28515625" style="24" customWidth="1"/>
    <col min="6" max="6" width="32.85546875" style="24" bestFit="1" customWidth="1"/>
    <col min="7" max="7" width="19.28515625" style="24" bestFit="1" customWidth="1"/>
    <col min="8" max="8" width="55.28515625" style="24" customWidth="1"/>
    <col min="9" max="9" width="32" style="24" bestFit="1" customWidth="1"/>
    <col min="10" max="16384" width="11.42578125" style="24"/>
  </cols>
  <sheetData>
    <row r="1" spans="1:11">
      <c r="A1" s="23" t="s">
        <v>449</v>
      </c>
      <c r="B1" s="23" t="s">
        <v>450</v>
      </c>
      <c r="C1" s="23" t="s">
        <v>451</v>
      </c>
      <c r="D1" s="23" t="s">
        <v>452</v>
      </c>
      <c r="E1" s="23" t="s">
        <v>358</v>
      </c>
      <c r="F1" s="23" t="s">
        <v>453</v>
      </c>
      <c r="G1" s="23" t="s">
        <v>454</v>
      </c>
      <c r="H1" s="23" t="s">
        <v>455</v>
      </c>
      <c r="I1" s="23" t="s">
        <v>456</v>
      </c>
      <c r="J1" s="23" t="s">
        <v>457</v>
      </c>
      <c r="K1" s="23" t="s">
        <v>458</v>
      </c>
    </row>
    <row r="2" spans="1:11">
      <c r="A2" s="25"/>
      <c r="B2" s="66" t="str">
        <f>IF(Planner!$C$10="","",Planner!$C$10)</f>
        <v>MM/DD/YY</v>
      </c>
      <c r="C2" s="25" t="str">
        <f>Planner!$C$6 &amp; " &amp; " &amp; Planner!$C$7</f>
        <v xml:space="preserve"> &amp; </v>
      </c>
      <c r="D2" s="25">
        <v>2</v>
      </c>
      <c r="E2" s="67" t="s">
        <v>578</v>
      </c>
      <c r="F2" s="27" t="s">
        <v>459</v>
      </c>
      <c r="G2" s="25" t="s">
        <v>460</v>
      </c>
      <c r="H2" s="32"/>
      <c r="I2" s="25" t="s">
        <v>460</v>
      </c>
      <c r="J2" s="25">
        <f>Planner!$G$12</f>
        <v>0</v>
      </c>
      <c r="K2" s="25"/>
    </row>
    <row r="3" spans="1:11">
      <c r="A3" s="25"/>
      <c r="B3" s="66" t="str">
        <f>IF(Planner!$G$131="","",Planner!$G$131)</f>
        <v>MM/DD/YY</v>
      </c>
      <c r="C3" s="25" t="str">
        <f>Planner!$C$6 &amp; " &amp; " &amp; Planner!$C$7</f>
        <v xml:space="preserve"> &amp; </v>
      </c>
      <c r="D3" s="25">
        <f>Planner!$C$23+Planner!$E$23+Planner!$G$23+Planner!$I$23</f>
        <v>0</v>
      </c>
      <c r="E3" s="67" t="str">
        <f>Planner!$F$132</f>
        <v>6:00 PM</v>
      </c>
      <c r="F3" s="28" t="s">
        <v>461</v>
      </c>
      <c r="G3" s="25" t="str">
        <f>IF(Planner!$C$132="","",Planner!$C$132)</f>
        <v/>
      </c>
      <c r="H3" s="32" t="s">
        <v>307</v>
      </c>
      <c r="I3" s="26" t="s">
        <v>462</v>
      </c>
      <c r="J3" s="25">
        <f>Planner!$G$12</f>
        <v>0</v>
      </c>
      <c r="K3" s="25"/>
    </row>
    <row r="4" spans="1:11">
      <c r="A4" s="25"/>
      <c r="B4" s="66" t="str">
        <f>IF(Planner!$G$136="","",Planner!$G$136)</f>
        <v>MM/DD/YY</v>
      </c>
      <c r="C4" s="25" t="str">
        <f>Planner!$C$6 &amp; " &amp; " &amp; Planner!$C$7</f>
        <v xml:space="preserve"> &amp; </v>
      </c>
      <c r="D4" s="25">
        <f>Planner!$C$23+Planner!$E$23+Planner!$G$23+Planner!$I$23</f>
        <v>0</v>
      </c>
      <c r="E4" s="67" t="str">
        <f>Planner!$F$137 &amp; " - " &amp; Planner!$H$137</f>
        <v xml:space="preserve"> - </v>
      </c>
      <c r="F4" s="28" t="s">
        <v>473</v>
      </c>
      <c r="G4" s="25" t="str">
        <f>IF(Planner!$C$137="","",Planner!$C$137)</f>
        <v/>
      </c>
      <c r="H4" s="32" t="str">
        <f>IF(Planner!C138 = "", "", Planner!C138)</f>
        <v/>
      </c>
      <c r="I4" s="26" t="s">
        <v>462</v>
      </c>
      <c r="J4" s="25">
        <f>Planner!$G$12</f>
        <v>0</v>
      </c>
      <c r="K4" s="25"/>
    </row>
    <row r="5" spans="1:11">
      <c r="A5" s="25"/>
      <c r="B5" s="66" t="str">
        <f>IF(Planner!$G$145="","",Planner!$G$145)</f>
        <v>MM/DD/YY</v>
      </c>
      <c r="C5" s="25" t="str">
        <f>Planner!$C$6 &amp; " &amp; " &amp; Planner!$C$7</f>
        <v xml:space="preserve"> &amp; </v>
      </c>
      <c r="D5" s="25">
        <f>Planner!$C$23+Planner!$E$23+Planner!$G$23+Planner!$I$23</f>
        <v>0</v>
      </c>
      <c r="E5" s="67" t="str">
        <f>Planner!$G$146 &amp; " - " &amp; Planner!$I$146</f>
        <v xml:space="preserve"> - </v>
      </c>
      <c r="F5" s="28" t="s">
        <v>474</v>
      </c>
      <c r="G5" s="25" t="str">
        <f>IF(Planner!$C$146="","",Planner!$C$146)</f>
        <v/>
      </c>
      <c r="H5" s="32" t="str">
        <f>_xlfn.TEXTJOIN(" &amp; ", TRUE, Planner!C148:C155)</f>
        <v/>
      </c>
      <c r="I5" s="26" t="s">
        <v>462</v>
      </c>
      <c r="J5" s="25">
        <f>Planner!$G$12</f>
        <v>0</v>
      </c>
      <c r="K5" s="25"/>
    </row>
    <row r="6" spans="1:11">
      <c r="A6" s="25"/>
      <c r="B6" s="66" t="str">
        <f>IF(Planner!$C$5="","",Planner!$C$5)</f>
        <v>MM/DD/YY</v>
      </c>
      <c r="C6" s="25" t="str">
        <f>Planner!$C$6 &amp; " &amp; " &amp; Planner!$C$7</f>
        <v xml:space="preserve"> &amp; </v>
      </c>
      <c r="D6" s="25">
        <f>Planner!$C$24+2</f>
        <v>2</v>
      </c>
      <c r="E6" s="67"/>
      <c r="F6" s="29" t="s">
        <v>463</v>
      </c>
      <c r="G6" s="25" t="str">
        <f>IF(Planner!$C$201="","",Planner!$C$201)</f>
        <v/>
      </c>
      <c r="H6" s="32" t="str">
        <f>IF(Planner!C148 = "", "", Planner!C148)</f>
        <v/>
      </c>
      <c r="I6" s="26" t="s">
        <v>464</v>
      </c>
      <c r="J6" s="25">
        <f>Planner!$G$12</f>
        <v>0</v>
      </c>
      <c r="K6" s="25"/>
    </row>
    <row r="7" spans="1:11">
      <c r="A7" s="25"/>
      <c r="B7" s="66" t="str">
        <f>IF(Planner!$C$5="","",Planner!$C$5)</f>
        <v>MM/DD/YY</v>
      </c>
      <c r="C7" s="25" t="str">
        <f>Planner!$C$6 &amp; " &amp; " &amp; Planner!$C$7</f>
        <v xml:space="preserve"> &amp; </v>
      </c>
      <c r="D7" s="25">
        <f>Planner!$E$24+2</f>
        <v>2</v>
      </c>
      <c r="E7" s="67"/>
      <c r="F7" s="28" t="s">
        <v>465</v>
      </c>
      <c r="G7" s="25" t="str">
        <f>IF(Planner!$C$202="","",Planner!$C$202)</f>
        <v/>
      </c>
      <c r="H7" s="32" t="str">
        <f>IF(Planner!E202 = "", "", Planner!E202)</f>
        <v/>
      </c>
      <c r="I7" s="26" t="s">
        <v>464</v>
      </c>
      <c r="J7" s="25">
        <f>Planner!$G$12</f>
        <v>0</v>
      </c>
      <c r="K7" s="25"/>
    </row>
    <row r="8" spans="1:11">
      <c r="A8" s="25"/>
      <c r="B8" s="66" t="str">
        <f>IF(Planner!$C$5="","",Planner!$C$5)</f>
        <v>MM/DD/YY</v>
      </c>
      <c r="C8" s="25" t="str">
        <f>Planner!$C$6 &amp; " &amp; " &amp; Planner!$C$7</f>
        <v xml:space="preserve"> &amp; </v>
      </c>
      <c r="D8" s="25">
        <f>Planner!$C$23+Planner!$E$23+Planner!$G$23+Planner!$I$23</f>
        <v>0</v>
      </c>
      <c r="E8" s="67">
        <f>Planner!$C$31</f>
        <v>0</v>
      </c>
      <c r="F8" s="30" t="s">
        <v>361</v>
      </c>
      <c r="G8" s="25" t="str">
        <f>IF(Planner!$C$30="","",Planner!$C$30)</f>
        <v/>
      </c>
      <c r="H8" s="33" t="s">
        <v>477</v>
      </c>
      <c r="I8" s="26" t="s">
        <v>462</v>
      </c>
      <c r="J8" s="25">
        <f>Planner!$G$12</f>
        <v>0</v>
      </c>
      <c r="K8" s="25"/>
    </row>
    <row r="9" spans="1:11">
      <c r="A9" s="25"/>
      <c r="B9" s="66" t="str">
        <f>IF(Planner!$C$5="","",Planner!$C$5)</f>
        <v>MM/DD/YY</v>
      </c>
      <c r="C9" s="25" t="str">
        <f>Planner!$C$6 &amp; " &amp; " &amp; Planner!$C$7</f>
        <v xml:space="preserve"> &amp; </v>
      </c>
      <c r="D9" s="25">
        <f>Planner!$C$23+Planner!$E$23+Planner!$G$23+Planner!$I$23</f>
        <v>0</v>
      </c>
      <c r="E9" s="67" t="str">
        <f>Planner!$F$46 &amp; " - " &amp; Planner!$H$46</f>
        <v xml:space="preserve"> - </v>
      </c>
      <c r="F9" s="28" t="s">
        <v>467</v>
      </c>
      <c r="G9" s="25" t="str">
        <f>IF(Planner!$C$46="","",Planner!$C$46)</f>
        <v/>
      </c>
      <c r="H9" s="32" t="str">
        <f>IF(Planner!C47="", "", Planner!C47)</f>
        <v/>
      </c>
      <c r="I9" s="26" t="s">
        <v>462</v>
      </c>
      <c r="J9" s="25">
        <f>Planner!$G$12</f>
        <v>0</v>
      </c>
      <c r="K9" s="25"/>
    </row>
    <row r="10" spans="1:11">
      <c r="A10" s="25"/>
      <c r="B10" s="66" t="str">
        <f>IF(Planner!$C$5="","",Planner!$C$5)</f>
        <v>MM/DD/YY</v>
      </c>
      <c r="C10" s="25" t="str">
        <f>Planner!$C$6 &amp; " &amp; " &amp; Planner!$C$7</f>
        <v xml:space="preserve"> &amp; </v>
      </c>
      <c r="D10" s="25">
        <f>Planner!$C$23+Planner!$E$23+Planner!$G$23+Planner!$I$23</f>
        <v>0</v>
      </c>
      <c r="E10" s="67" t="str">
        <f>Planner!$G$61</f>
        <v>6:00 PM</v>
      </c>
      <c r="F10" s="28" t="s">
        <v>475</v>
      </c>
      <c r="G10" s="25" t="str">
        <f>IF(Planner!$C$61="","",Planner!$C$61)</f>
        <v/>
      </c>
      <c r="H10" s="32" t="str">
        <f>IF(Planner!C62="","",Planner!C62)</f>
        <v/>
      </c>
      <c r="I10" s="26" t="s">
        <v>462</v>
      </c>
      <c r="J10" s="25">
        <f>Planner!$G$12</f>
        <v>0</v>
      </c>
      <c r="K10" s="25"/>
    </row>
    <row r="11" spans="1:11" ht="39" customHeight="1">
      <c r="A11" s="25"/>
      <c r="B11" s="66" t="str">
        <f>IF(Planner!$C$5="","",Planner!$C$5)</f>
        <v>MM/DD/YY</v>
      </c>
      <c r="C11" s="25" t="str">
        <f>Planner!$C$6 &amp; " &amp; " &amp; Planner!$C$7</f>
        <v xml:space="preserve"> &amp; </v>
      </c>
      <c r="D11" s="25">
        <f>Planner!$C$23+Planner!$E$23+Planner!$G$23+Planner!$I$23</f>
        <v>0</v>
      </c>
      <c r="E11" s="67" t="str">
        <f>Planner!$G$67&amp;" - "&amp;Planner!$I$67</f>
        <v xml:space="preserve"> - </v>
      </c>
      <c r="F11" s="28" t="s">
        <v>476</v>
      </c>
      <c r="G11" s="25" t="str">
        <f>IF(Planner!$C$67="","",Planner!$C$67)</f>
        <v/>
      </c>
      <c r="H11" s="32" t="str">
        <f>_xlfn.TEXTJOIN(" &amp; ", TRUE, Planner!C69:C76)</f>
        <v/>
      </c>
      <c r="I11" s="26" t="s">
        <v>462</v>
      </c>
      <c r="J11" s="25">
        <f>Planner!$G$12</f>
        <v>0</v>
      </c>
      <c r="K11" s="25"/>
    </row>
    <row r="12" spans="1:11">
      <c r="A12" s="25"/>
      <c r="B12" s="66" t="str">
        <f>IF(Planner!$D$219="","",Planner!$D$219)</f>
        <v>MM/DD/YY</v>
      </c>
      <c r="C12" s="25" t="str">
        <f>Planner!$C$6 &amp; " &amp; " &amp; Planner!$C$7</f>
        <v xml:space="preserve"> &amp; </v>
      </c>
      <c r="D12" s="25">
        <v>2</v>
      </c>
      <c r="E12" s="67">
        <f>Planner!$F$219</f>
        <v>0</v>
      </c>
      <c r="F12" s="28" t="s">
        <v>468</v>
      </c>
      <c r="G12" s="26" t="s">
        <v>466</v>
      </c>
      <c r="H12" s="33" t="s">
        <v>469</v>
      </c>
      <c r="I12" s="26" t="s">
        <v>464</v>
      </c>
      <c r="J12" s="25">
        <f>Planner!$G$12</f>
        <v>0</v>
      </c>
      <c r="K12" s="25"/>
    </row>
    <row r="13" spans="1:11">
      <c r="A13" s="25"/>
      <c r="B13" s="66" t="str">
        <f>IF(Planner!$D$220="","",Planner!$D$220)</f>
        <v>MM/DD/YY</v>
      </c>
      <c r="C13" s="25" t="str">
        <f>Planner!$C$6 &amp; " &amp; " &amp; Planner!$C$7</f>
        <v xml:space="preserve"> &amp; </v>
      </c>
      <c r="D13" s="25">
        <v>2</v>
      </c>
      <c r="E13" s="67">
        <f>Planner!$F$220</f>
        <v>0</v>
      </c>
      <c r="F13" s="28" t="s">
        <v>470</v>
      </c>
      <c r="G13" s="26" t="s">
        <v>471</v>
      </c>
      <c r="H13" s="33" t="s">
        <v>469</v>
      </c>
      <c r="I13" s="26" t="s">
        <v>462</v>
      </c>
      <c r="J13" s="25">
        <f>Planner!$G$12</f>
        <v>0</v>
      </c>
      <c r="K13" s="25"/>
    </row>
    <row r="14" spans="1:11">
      <c r="A14" s="25"/>
      <c r="B14" s="66" t="str">
        <f>IF(Planner!$C$11="","",Planner!$C$11)</f>
        <v>MM/DD/YY</v>
      </c>
      <c r="C14" s="25" t="str">
        <f>Planner!$C$6 &amp; " &amp; " &amp; Planner!$C$7</f>
        <v xml:space="preserve"> &amp; </v>
      </c>
      <c r="D14" s="25">
        <v>2</v>
      </c>
      <c r="E14" s="67">
        <v>0.5</v>
      </c>
      <c r="F14" s="31" t="s">
        <v>472</v>
      </c>
      <c r="G14" s="25" t="s">
        <v>460</v>
      </c>
      <c r="H14" s="25"/>
      <c r="I14" s="25" t="s">
        <v>460</v>
      </c>
      <c r="J14" s="25">
        <f>Planner!$G$12</f>
        <v>0</v>
      </c>
      <c r="K14" s="25"/>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3EBCC-E897-4F66-9759-D03DF0FFBB43}">
  <sheetPr codeName="Hoja2"/>
  <dimension ref="A1:AJ199"/>
  <sheetViews>
    <sheetView zoomScale="70" zoomScaleNormal="70" workbookViewId="0">
      <pane ySplit="18" topLeftCell="A19" activePane="bottomLeft" state="frozen"/>
      <selection pane="bottomLeft" activeCell="B37" sqref="B37:C37"/>
    </sheetView>
  </sheetViews>
  <sheetFormatPr baseColWidth="10" defaultRowHeight="15"/>
  <cols>
    <col min="1" max="1" width="16.5703125" customWidth="1"/>
    <col min="2" max="2" width="29.5703125" customWidth="1"/>
    <col min="3" max="3" width="34.85546875" customWidth="1"/>
    <col min="4" max="4" width="15.42578125" customWidth="1"/>
    <col min="5" max="5" width="12.7109375" bestFit="1" customWidth="1"/>
    <col min="6" max="6" width="16" customWidth="1"/>
    <col min="7" max="7" width="14.7109375" bestFit="1" customWidth="1"/>
    <col min="8" max="8" width="6" bestFit="1" customWidth="1"/>
    <col min="9" max="9" width="17.28515625" customWidth="1"/>
    <col min="11" max="11" width="11.42578125" style="118"/>
    <col min="16" max="16" width="12.7109375" bestFit="1" customWidth="1"/>
    <col min="17" max="17" width="11.42578125" style="118"/>
    <col min="18" max="18" width="39.7109375" bestFit="1" customWidth="1"/>
    <col min="20" max="20" width="14.85546875" customWidth="1"/>
    <col min="25" max="25" width="13.7109375" customWidth="1"/>
    <col min="26" max="29" width="11.42578125" hidden="1" customWidth="1"/>
    <col min="30" max="30" width="13.7109375" customWidth="1"/>
    <col min="32" max="32" width="13.28515625" customWidth="1"/>
    <col min="35" max="35" width="13.28515625" customWidth="1"/>
  </cols>
  <sheetData>
    <row r="1" spans="1:36">
      <c r="B1" s="1"/>
      <c r="C1" s="1"/>
      <c r="D1" s="1"/>
      <c r="E1" s="1"/>
      <c r="F1" s="4"/>
      <c r="G1" s="1"/>
      <c r="H1" s="1"/>
    </row>
    <row r="2" spans="1:36">
      <c r="B2" s="1"/>
      <c r="C2" s="1"/>
      <c r="D2" s="1"/>
      <c r="E2" s="1"/>
      <c r="F2" s="4"/>
      <c r="G2" s="1"/>
      <c r="H2" s="1"/>
    </row>
    <row r="3" spans="1:36">
      <c r="B3" s="1"/>
      <c r="C3" s="1"/>
      <c r="D3" s="1"/>
      <c r="E3" s="1"/>
      <c r="F3" s="4"/>
      <c r="G3" s="1"/>
      <c r="H3" s="1"/>
    </row>
    <row r="4" spans="1:36">
      <c r="B4" s="1"/>
      <c r="C4" s="1"/>
      <c r="D4" s="1"/>
      <c r="E4" s="1"/>
      <c r="F4" s="4"/>
      <c r="G4" s="1"/>
      <c r="H4" s="1"/>
    </row>
    <row r="5" spans="1:36">
      <c r="B5" s="1"/>
      <c r="C5" s="1"/>
      <c r="D5" s="1"/>
      <c r="E5" s="1"/>
      <c r="F5" s="4"/>
      <c r="G5" s="1"/>
      <c r="H5" s="1"/>
    </row>
    <row r="6" spans="1:36">
      <c r="B6" s="1"/>
      <c r="C6" s="1"/>
      <c r="D6" s="1"/>
      <c r="E6" s="1"/>
      <c r="F6" s="4"/>
      <c r="G6" s="1"/>
      <c r="H6" s="1"/>
    </row>
    <row r="7" spans="1:36" ht="15.75" thickBot="1">
      <c r="B7" s="1"/>
      <c r="C7" s="1"/>
      <c r="D7" s="1"/>
      <c r="E7" s="1"/>
      <c r="F7" s="4"/>
      <c r="G7" s="1"/>
      <c r="H7" s="1"/>
    </row>
    <row r="8" spans="1:36" ht="28.5" customHeight="1" thickBot="1">
      <c r="A8" s="515" t="s">
        <v>4</v>
      </c>
      <c r="B8" s="516"/>
      <c r="C8" s="516"/>
      <c r="D8" s="516"/>
      <c r="E8" s="516"/>
      <c r="F8" s="516"/>
      <c r="G8" s="516"/>
      <c r="H8" s="517"/>
      <c r="P8" s="500" t="s">
        <v>691</v>
      </c>
      <c r="Q8" s="501"/>
      <c r="R8" s="504"/>
    </row>
    <row r="9" spans="1:36" ht="6.75" customHeight="1">
      <c r="A9" s="119"/>
      <c r="B9" s="1"/>
      <c r="C9" s="1"/>
      <c r="D9" s="1"/>
      <c r="E9" s="4"/>
      <c r="F9" s="1"/>
      <c r="G9" s="1"/>
      <c r="H9" s="120"/>
      <c r="P9" s="502"/>
      <c r="Q9" s="503"/>
      <c r="R9" s="505"/>
    </row>
    <row r="10" spans="1:36" ht="18.75">
      <c r="A10" s="130" t="s">
        <v>5</v>
      </c>
      <c r="B10" s="518" t="str">
        <f>Planner!$C$6 &amp; " &amp; " &amp; Planner!$C$7</f>
        <v xml:space="preserve"> &amp; </v>
      </c>
      <c r="C10" s="518"/>
      <c r="D10" s="518"/>
      <c r="E10" s="5"/>
      <c r="F10" s="122" t="s">
        <v>6</v>
      </c>
      <c r="G10" s="511"/>
      <c r="H10" s="512"/>
      <c r="P10" s="498" t="s">
        <v>450</v>
      </c>
      <c r="Q10" s="499"/>
      <c r="R10" s="165"/>
    </row>
    <row r="11" spans="1:36" ht="18.75">
      <c r="A11" s="130" t="s">
        <v>7</v>
      </c>
      <c r="B11" s="518" t="str">
        <f>Planner!C12</f>
        <v>Majestic Elegance Costa Mujeres</v>
      </c>
      <c r="C11" s="518"/>
      <c r="D11" s="128"/>
      <c r="E11" s="5"/>
      <c r="F11" s="122" t="s">
        <v>10</v>
      </c>
      <c r="G11" s="513">
        <f>Planner!C23</f>
        <v>0</v>
      </c>
      <c r="H11" s="514"/>
      <c r="P11" s="492" t="s">
        <v>855</v>
      </c>
      <c r="Q11" s="493"/>
      <c r="R11" s="347">
        <v>19.5</v>
      </c>
    </row>
    <row r="12" spans="1:36" ht="18.75">
      <c r="A12" s="131" t="s">
        <v>8</v>
      </c>
      <c r="B12" s="129" t="str">
        <f>Planner!C5</f>
        <v>MM/DD/YY</v>
      </c>
      <c r="D12" s="5"/>
      <c r="E12" s="5"/>
      <c r="F12" s="122" t="s">
        <v>13</v>
      </c>
      <c r="G12" s="513">
        <f>Planner!E23</f>
        <v>0</v>
      </c>
      <c r="H12" s="514"/>
      <c r="P12" s="494" t="s">
        <v>856</v>
      </c>
      <c r="Q12" s="495"/>
      <c r="R12" s="347">
        <v>17.5</v>
      </c>
    </row>
    <row r="13" spans="1:36" ht="19.5" thickBot="1">
      <c r="A13" s="130" t="s">
        <v>9</v>
      </c>
      <c r="B13" s="121">
        <f>Planner!G12</f>
        <v>0</v>
      </c>
      <c r="D13" s="5"/>
      <c r="E13" s="5"/>
      <c r="F13" s="122" t="s">
        <v>12</v>
      </c>
      <c r="G13" s="513">
        <f>Planner!G23</f>
        <v>0</v>
      </c>
      <c r="H13" s="514"/>
      <c r="P13" s="496" t="s">
        <v>692</v>
      </c>
      <c r="Q13" s="497"/>
      <c r="R13" s="166"/>
    </row>
    <row r="14" spans="1:36" ht="18.75">
      <c r="A14" s="132" t="s">
        <v>11</v>
      </c>
      <c r="B14" s="121"/>
      <c r="D14" s="5"/>
      <c r="E14" s="5"/>
      <c r="F14" s="122" t="s">
        <v>35</v>
      </c>
      <c r="G14" s="513">
        <f>Planner!I23</f>
        <v>0</v>
      </c>
      <c r="H14" s="514"/>
    </row>
    <row r="15" spans="1:36" ht="6.75" customHeight="1" thickBot="1">
      <c r="A15" s="123"/>
      <c r="B15" s="124"/>
      <c r="C15" s="124"/>
      <c r="D15" s="124"/>
      <c r="E15" s="124"/>
      <c r="F15" s="125"/>
      <c r="G15" s="126"/>
      <c r="H15" s="127"/>
    </row>
    <row r="16" spans="1:36" ht="19.5" thickBot="1">
      <c r="B16" s="5"/>
      <c r="C16" s="5"/>
      <c r="D16" s="5"/>
      <c r="E16" s="5"/>
      <c r="F16" s="4"/>
      <c r="G16" s="1"/>
      <c r="H16" s="1"/>
      <c r="T16" s="167"/>
      <c r="U16" s="467" t="s">
        <v>857</v>
      </c>
      <c r="V16" s="468"/>
      <c r="W16" s="468"/>
      <c r="X16" s="468"/>
      <c r="Y16" s="468"/>
      <c r="Z16" s="437" t="s">
        <v>859</v>
      </c>
      <c r="AA16" s="438"/>
      <c r="AB16" s="438"/>
      <c r="AC16" s="438"/>
      <c r="AD16" s="439"/>
      <c r="AE16" s="469" t="s">
        <v>693</v>
      </c>
      <c r="AF16" s="469"/>
      <c r="AG16" s="469"/>
      <c r="AH16" s="469"/>
      <c r="AI16" s="469"/>
      <c r="AJ16" s="470"/>
    </row>
    <row r="17" spans="1:36" ht="18.75" customHeight="1">
      <c r="A17" s="482" t="s">
        <v>14</v>
      </c>
      <c r="B17" s="483"/>
      <c r="C17" s="484"/>
      <c r="D17" s="488" t="s">
        <v>15</v>
      </c>
      <c r="E17" s="488" t="s">
        <v>16</v>
      </c>
      <c r="F17" s="490" t="s">
        <v>17</v>
      </c>
      <c r="G17" s="490" t="s">
        <v>18</v>
      </c>
      <c r="H17" s="490" t="s">
        <v>100</v>
      </c>
      <c r="I17" s="506" t="s">
        <v>682</v>
      </c>
      <c r="J17" s="507"/>
      <c r="K17" s="508"/>
      <c r="L17" s="509" t="s">
        <v>689</v>
      </c>
      <c r="M17" s="506" t="s">
        <v>683</v>
      </c>
      <c r="N17" s="507"/>
      <c r="O17" s="507"/>
      <c r="P17" s="507"/>
      <c r="Q17" s="507"/>
      <c r="R17" s="508"/>
      <c r="T17" s="471" t="s">
        <v>694</v>
      </c>
      <c r="U17" s="473" t="s">
        <v>695</v>
      </c>
      <c r="V17" s="475" t="s">
        <v>696</v>
      </c>
      <c r="W17" s="477" t="s">
        <v>697</v>
      </c>
      <c r="X17" s="473" t="s">
        <v>698</v>
      </c>
      <c r="Y17" s="475" t="s">
        <v>699</v>
      </c>
      <c r="Z17" s="435" t="s">
        <v>695</v>
      </c>
      <c r="AA17" s="440" t="s">
        <v>696</v>
      </c>
      <c r="AB17" s="442" t="s">
        <v>697</v>
      </c>
      <c r="AC17" s="444" t="s">
        <v>698</v>
      </c>
      <c r="AD17" s="435" t="s">
        <v>858</v>
      </c>
      <c r="AE17" s="479" t="s">
        <v>700</v>
      </c>
      <c r="AF17" s="480"/>
      <c r="AG17" s="481" t="s">
        <v>844</v>
      </c>
      <c r="AH17" s="480"/>
      <c r="AI17" s="481" t="s">
        <v>845</v>
      </c>
      <c r="AJ17" s="480"/>
    </row>
    <row r="18" spans="1:36" ht="18.75" customHeight="1" thickBot="1">
      <c r="A18" s="485"/>
      <c r="B18" s="486"/>
      <c r="C18" s="487"/>
      <c r="D18" s="489"/>
      <c r="E18" s="489"/>
      <c r="F18" s="491"/>
      <c r="G18" s="491"/>
      <c r="H18" s="491"/>
      <c r="I18" s="135" t="s">
        <v>684</v>
      </c>
      <c r="J18" s="136" t="s">
        <v>685</v>
      </c>
      <c r="K18" s="137" t="s">
        <v>100</v>
      </c>
      <c r="L18" s="510"/>
      <c r="M18" s="135" t="s">
        <v>686</v>
      </c>
      <c r="N18" s="136" t="s">
        <v>687</v>
      </c>
      <c r="O18" s="136" t="s">
        <v>688</v>
      </c>
      <c r="P18" s="136" t="s">
        <v>685</v>
      </c>
      <c r="Q18" s="136" t="s">
        <v>100</v>
      </c>
      <c r="R18" s="137" t="s">
        <v>690</v>
      </c>
      <c r="T18" s="472"/>
      <c r="U18" s="474"/>
      <c r="V18" s="476"/>
      <c r="W18" s="478"/>
      <c r="X18" s="474"/>
      <c r="Y18" s="476"/>
      <c r="Z18" s="436"/>
      <c r="AA18" s="441"/>
      <c r="AB18" s="443"/>
      <c r="AC18" s="445"/>
      <c r="AD18" s="436"/>
      <c r="AE18" s="349" t="s">
        <v>701</v>
      </c>
      <c r="AF18" s="335" t="s">
        <v>702</v>
      </c>
      <c r="AG18" s="334" t="s">
        <v>685</v>
      </c>
      <c r="AH18" s="335" t="s">
        <v>100</v>
      </c>
      <c r="AI18" s="334" t="s">
        <v>685</v>
      </c>
      <c r="AJ18" s="335" t="s">
        <v>100</v>
      </c>
    </row>
    <row r="19" spans="1:36" ht="19.5" customHeight="1">
      <c r="A19" s="138" t="s">
        <v>19</v>
      </c>
      <c r="B19" s="139"/>
      <c r="C19" s="140"/>
      <c r="D19" s="147"/>
      <c r="E19" s="147"/>
      <c r="F19" s="147"/>
      <c r="G19" s="147"/>
      <c r="H19" s="147"/>
      <c r="I19" s="158"/>
      <c r="J19" s="159"/>
      <c r="K19" s="314"/>
      <c r="L19" s="160"/>
      <c r="M19" s="158"/>
      <c r="N19" s="159"/>
      <c r="O19" s="159"/>
      <c r="P19" s="159"/>
      <c r="Q19" s="314"/>
      <c r="R19" s="160"/>
      <c r="T19" s="168" t="str">
        <f>IF(+D19&lt;&gt;"",D19,IF(SUM(G19,J19,P19)&lt;&gt;0,T17,""))</f>
        <v/>
      </c>
      <c r="U19" s="169" t="str">
        <f>IF($AE19="","",IF($H$139="USD",$AE19/(1+$AF19),IF($H$139='[1]Info I'!$G$3,$AE19/$R$12/(1+$AF19),"Error")))</f>
        <v/>
      </c>
      <c r="V19" s="170" t="str">
        <f>IF($AG19="","",IF($AH19="USD",$AG19,IF($AH19=Data!$AD$3,$AG19/$R$12,"Error")))</f>
        <v/>
      </c>
      <c r="W19" s="171" t="str">
        <f>IF($AI19="","",IF($AJ19="USD",$AI19,IF($AJ19='[1]Info I'!$G$3,$AI19/$R$12,"Error")))</f>
        <v/>
      </c>
      <c r="X19" s="169" t="str">
        <f>IFERROR(IF(+IF(V19="",0,V19)+IF(W19="",0,W19)=0,"",+IF(V19="",0,V19)+IF(W19="",0,W19)),"Error")</f>
        <v/>
      </c>
      <c r="Y19" s="332" t="str">
        <f t="shared" ref="Y19:Y82" si="0">IFERROR(+(U19-X19)/U19,"")</f>
        <v/>
      </c>
      <c r="Z19" s="351" t="str">
        <f>IF($AE19="","",IF($H$139="USD",$AE19/(1+$AF19),IF($H$139='[1]Info I'!$G$3,$AE19/$R$11/(1+$AF19),"Error")))</f>
        <v/>
      </c>
      <c r="AA19" s="352" t="str">
        <f>IF($AG19="","",IF($AH19="USD",$AG19,IF($AH19=Data!$AD$3,$AG19/$R$11,"Error")))</f>
        <v/>
      </c>
      <c r="AB19" s="353" t="str">
        <f>IF($AI19="","",IF($AJ19="USD",$AI19,IF($AJ19='[1]Info I'!$G$3,$AI19/$R$11,"Error")))</f>
        <v/>
      </c>
      <c r="AC19" s="354" t="str">
        <f>IFERROR(IF(+IF(AA19="",0,AA19)+IF(AB19="",0,AB19)=0,"",+IF(AA19="",0,AA19)+IF(AB19="",0,AB19)),"Error")</f>
        <v/>
      </c>
      <c r="AD19" s="355" t="str">
        <f t="shared" ref="AD19:AD52" si="1">IFERROR(+(Z19-AC19)/Z19,"")</f>
        <v/>
      </c>
      <c r="AE19" s="172" t="str">
        <f>IF(+G19="","",+G19)</f>
        <v/>
      </c>
      <c r="AF19" s="173" t="str">
        <f>IFERROR(IF(T19="","",VLOOKUP(T19,'[1]Info I'!B:F,4,FALSE)),"Error")</f>
        <v/>
      </c>
      <c r="AG19" s="172" t="str">
        <f t="shared" ref="AG19:AG50" si="2">IF(J19="","",J19)</f>
        <v/>
      </c>
      <c r="AH19" s="174" t="str">
        <f t="shared" ref="AH19:AH50" si="3">IF(AG19="","",IF(K19="","Error",K19))</f>
        <v/>
      </c>
      <c r="AI19" s="172" t="str">
        <f t="shared" ref="AI19:AI50" si="4">IF(P19="","",P19)</f>
        <v/>
      </c>
      <c r="AJ19" s="174" t="str">
        <f t="shared" ref="AJ19:AJ50" si="5">IF(AI19="","",IF(Q19="","Error",Q19))</f>
        <v/>
      </c>
    </row>
    <row r="20" spans="1:36" ht="18.75">
      <c r="A20" s="141" t="s">
        <v>61</v>
      </c>
      <c r="B20" s="451" t="str">
        <f>Planner!C29&amp;" "&amp;"Wedding Package"</f>
        <v xml:space="preserve"> Wedding Package</v>
      </c>
      <c r="C20" s="452"/>
      <c r="D20" s="148" t="str">
        <f>_xlfn.XLOOKUP(Invoice!B20,Data!$P:$P,Data!$N:$N,"")</f>
        <v/>
      </c>
      <c r="E20" s="151">
        <v>1</v>
      </c>
      <c r="F20" s="155" t="str">
        <f>_xlfn.XLOOKUP($B20,Data!$P:$P,Data!$Q:$Q,"")</f>
        <v/>
      </c>
      <c r="G20" s="155" t="str">
        <f>IFERROR(E20*F20,"")</f>
        <v/>
      </c>
      <c r="H20" s="148" t="s">
        <v>21</v>
      </c>
      <c r="I20" s="307" t="s">
        <v>541</v>
      </c>
      <c r="J20" s="310">
        <v>1550</v>
      </c>
      <c r="K20" s="315" t="s">
        <v>747</v>
      </c>
      <c r="L20" s="309"/>
      <c r="M20" s="307" t="s">
        <v>775</v>
      </c>
      <c r="N20" s="308">
        <v>1</v>
      </c>
      <c r="O20" s="310">
        <f>Data!$R$244</f>
        <v>65</v>
      </c>
      <c r="P20" s="310">
        <f>N20*O20</f>
        <v>65</v>
      </c>
      <c r="Q20" s="315" t="s">
        <v>747</v>
      </c>
      <c r="R20" s="309" t="s">
        <v>788</v>
      </c>
      <c r="T20" s="168">
        <f t="shared" ref="T20:T83" si="6">IF(+D20&lt;&gt;"",D20,IF(SUM(G20,J20,P20)&lt;&gt;0,T18,""))</f>
        <v>0</v>
      </c>
      <c r="U20" s="169" t="str">
        <f>IF($AE20="","",IF($H$139="USD",$AE20/(1+$AF20),IF($H$139='[1]Info I'!$G$3,$AE20/$R$12/(1+$AF20),"Error")))</f>
        <v/>
      </c>
      <c r="V20" s="170">
        <f>IF($AG20="","",IF($AH20="USD",$AG20,IF($AH20=Data!$AD$3,$AG20/$R$12,"Error")))</f>
        <v>88.571428571428569</v>
      </c>
      <c r="W20" s="171">
        <f>IF($AI20="","",IF($AJ20="USD",$AI20,IF($AJ20='[1]Info I'!$G$3,$AI20/$R$12,"Error")))</f>
        <v>3.7142857142857144</v>
      </c>
      <c r="X20" s="169">
        <f>IFERROR(IF(+IF(V20="",0,V20)+IF(W20="",0,W20)=0,"",+IF(V20="",0,V20)+IF(W20="",0,W20)),"Error")</f>
        <v>92.285714285714278</v>
      </c>
      <c r="Y20" s="332" t="str">
        <f>IFERROR(+(U20-X20)/U20,"")</f>
        <v/>
      </c>
      <c r="Z20" s="351" t="str">
        <f>IF($AE20="","",IF($H$139="USD",$AE20/(1+$AF20),IF($H$139='[1]Info I'!$G$3,$AE20/$R$11/(1+$AF20),"Error")))</f>
        <v/>
      </c>
      <c r="AA20" s="352">
        <f>IF($AG20="","",IF($AH20="USD",$AG20,IF($AH20=Data!$AD$3,$AG20/$R$11,"Error")))</f>
        <v>79.487179487179489</v>
      </c>
      <c r="AB20" s="353">
        <f>IF($AI20="","",IF($AJ20="USD",$AI20,IF($AJ20='[1]Info I'!$G$3,$AI20/$R$11,"Error")))</f>
        <v>3.3333333333333335</v>
      </c>
      <c r="AC20" s="354">
        <f t="shared" ref="AC20:AC52" si="7">IFERROR(IF(+IF(AA20="",0,AA20)+IF(AB20="",0,AB20)=0,"",+IF(AA20="",0,AA20)+IF(AB20="",0,AB20)),"Error")</f>
        <v>82.820512820512818</v>
      </c>
      <c r="AD20" s="355" t="str">
        <f t="shared" si="1"/>
        <v/>
      </c>
      <c r="AE20" s="172" t="str">
        <f t="shared" ref="AE20:AE51" si="8">IF(+G20=0,"",+G20)</f>
        <v/>
      </c>
      <c r="AF20" s="173" t="str">
        <f>IFERROR(IF(T20="","",VLOOKUP(T20,Data!V:Z,4,FALSE)),"Error")</f>
        <v>Error</v>
      </c>
      <c r="AG20" s="172">
        <f t="shared" si="2"/>
        <v>1550</v>
      </c>
      <c r="AH20" s="174" t="str">
        <f t="shared" si="3"/>
        <v>MXN</v>
      </c>
      <c r="AI20" s="172">
        <f t="shared" si="4"/>
        <v>65</v>
      </c>
      <c r="AJ20" s="174" t="str">
        <f t="shared" si="5"/>
        <v>MXN</v>
      </c>
    </row>
    <row r="21" spans="1:36" ht="18.75">
      <c r="A21" s="141"/>
      <c r="B21" s="142"/>
      <c r="C21" s="143"/>
      <c r="D21" s="148" t="str">
        <f>D20</f>
        <v/>
      </c>
      <c r="E21" s="151"/>
      <c r="F21" s="155"/>
      <c r="G21" s="155"/>
      <c r="H21" s="148"/>
      <c r="I21" s="307"/>
      <c r="J21" s="310"/>
      <c r="K21" s="315"/>
      <c r="L21" s="309"/>
      <c r="M21" s="307" t="s">
        <v>775</v>
      </c>
      <c r="N21" s="308">
        <f>IF(AND(B128="",B129=""),Planner!G201+Planner!G202+2,IF(B128="",Planner!G201+1,IF(B129="",Planner!G202+1,0)))</f>
        <v>0</v>
      </c>
      <c r="O21" s="310">
        <f>Data!$R$246</f>
        <v>90</v>
      </c>
      <c r="P21" s="310">
        <f>IFERROR(N21*O21,0)</f>
        <v>0</v>
      </c>
      <c r="Q21" s="315" t="s">
        <v>747</v>
      </c>
      <c r="R21" s="309" t="s">
        <v>790</v>
      </c>
      <c r="T21" s="168" t="str">
        <f t="shared" si="6"/>
        <v/>
      </c>
      <c r="U21" s="169" t="str">
        <f>IF($AE21="","",IF($H$139="USD",$AE21/(1+$AF21),IF($H$139='[1]Info I'!$G$3,$AE21/$R$12/(1+$AF21),"Error")))</f>
        <v/>
      </c>
      <c r="V21" s="170" t="str">
        <f>IF($AG21="","",IF($AH21="USD",$AG21,IF($AH21=Data!$AD$3,$AG21/$R$12,"Error")))</f>
        <v/>
      </c>
      <c r="W21" s="171">
        <f>IF($AI21="","",IF($AJ21="USD",$AI21,IF($AJ21='[1]Info I'!$G$3,$AI21/$R$12,"Error")))</f>
        <v>0</v>
      </c>
      <c r="X21" s="169" t="str">
        <f t="shared" ref="X21:X81" si="9">IFERROR(IF(+IF(V21="",0,V21)+IF(W21="",0,W21)=0,"",+IF(V21="",0,V21)+IF(W21="",0,W21)),"Error")</f>
        <v/>
      </c>
      <c r="Y21" s="332" t="str">
        <f t="shared" si="0"/>
        <v/>
      </c>
      <c r="Z21" s="351" t="str">
        <f>IF($AE21="","",IF($H$139="USD",$AE21/(1+$AF21),IF($H$139='[1]Info I'!$G$3,$AE21/$R$11/(1+$AF21),"Error")))</f>
        <v/>
      </c>
      <c r="AA21" s="352" t="str">
        <f>IF($AG21="","",IF($AH21="USD",$AG21,IF($AH21=Data!$AD$3,$AG21/$R$11,"Error")))</f>
        <v/>
      </c>
      <c r="AB21" s="353">
        <f>IF($AI21="","",IF($AJ21="USD",$AI21,IF($AJ21='[1]Info I'!$G$3,$AI21/$R$11,"Error")))</f>
        <v>0</v>
      </c>
      <c r="AC21" s="354" t="str">
        <f t="shared" si="7"/>
        <v/>
      </c>
      <c r="AD21" s="355" t="str">
        <f t="shared" si="1"/>
        <v/>
      </c>
      <c r="AE21" s="172" t="str">
        <f t="shared" si="8"/>
        <v/>
      </c>
      <c r="AF21" s="173" t="str">
        <f>IFERROR(IF(T21="","",VLOOKUP(T21,Data!V:Z,4,FALSE)),"Error")</f>
        <v/>
      </c>
      <c r="AG21" s="172" t="str">
        <f t="shared" si="2"/>
        <v/>
      </c>
      <c r="AH21" s="174" t="str">
        <f t="shared" si="3"/>
        <v/>
      </c>
      <c r="AI21" s="172">
        <f t="shared" si="4"/>
        <v>0</v>
      </c>
      <c r="AJ21" s="174" t="str">
        <f t="shared" si="5"/>
        <v>MXN</v>
      </c>
    </row>
    <row r="22" spans="1:36" ht="18.75">
      <c r="A22" s="141"/>
      <c r="B22" s="142"/>
      <c r="C22" s="143"/>
      <c r="D22" s="148" t="str">
        <f>D20</f>
        <v/>
      </c>
      <c r="E22" s="151"/>
      <c r="F22" s="155"/>
      <c r="G22" s="155"/>
      <c r="H22" s="148"/>
      <c r="I22" s="307"/>
      <c r="J22" s="310"/>
      <c r="K22" s="315"/>
      <c r="L22" s="309"/>
      <c r="M22" s="307" t="s">
        <v>775</v>
      </c>
      <c r="N22" s="308">
        <f>SUM(G11:H14)</f>
        <v>0</v>
      </c>
      <c r="O22" s="310">
        <f>Data!$R$247</f>
        <v>25.23</v>
      </c>
      <c r="P22" s="310">
        <f>N22*O22</f>
        <v>0</v>
      </c>
      <c r="Q22" s="315" t="s">
        <v>747</v>
      </c>
      <c r="R22" s="309" t="s">
        <v>793</v>
      </c>
      <c r="T22" s="168" t="str">
        <f t="shared" si="6"/>
        <v/>
      </c>
      <c r="U22" s="169" t="str">
        <f>IF($AE22="","",IF($H$139="USD",$AE22/(1+$AF22),IF($H$139='[1]Info I'!$G$3,$AE22/$R$12/(1+$AF22),"Error")))</f>
        <v/>
      </c>
      <c r="V22" s="170" t="str">
        <f>IF($AG22="","",IF($AH22="USD",$AG22,IF($AH22=Data!$AD$3,$AG22/$R$12,"Error")))</f>
        <v/>
      </c>
      <c r="W22" s="171">
        <f>IF($AI22="","",IF($AJ22="USD",$AI22,IF($AJ22='[1]Info I'!$G$3,$AI22/$R$12,"Error")))</f>
        <v>0</v>
      </c>
      <c r="X22" s="169" t="str">
        <f t="shared" si="9"/>
        <v/>
      </c>
      <c r="Y22" s="332" t="str">
        <f t="shared" si="0"/>
        <v/>
      </c>
      <c r="Z22" s="351" t="str">
        <f>IF($AE22="","",IF($H$139="USD",$AE22/(1+$AF22),IF($H$139='[1]Info I'!$G$3,$AE22/$R$11/(1+$AF22),"Error")))</f>
        <v/>
      </c>
      <c r="AA22" s="352" t="str">
        <f>IF($AG22="","",IF($AH22="USD",$AG22,IF($AH22=Data!$AD$3,$AG22/$R$11,"Error")))</f>
        <v/>
      </c>
      <c r="AB22" s="353">
        <f>IF($AI22="","",IF($AJ22="USD",$AI22,IF($AJ22='[1]Info I'!$G$3,$AI22/$R$11,"Error")))</f>
        <v>0</v>
      </c>
      <c r="AC22" s="354" t="str">
        <f t="shared" si="7"/>
        <v/>
      </c>
      <c r="AD22" s="355" t="str">
        <f t="shared" si="1"/>
        <v/>
      </c>
      <c r="AE22" s="172" t="str">
        <f t="shared" si="8"/>
        <v/>
      </c>
      <c r="AF22" s="173" t="str">
        <f>IFERROR(IF(T22="","",VLOOKUP(T22,Data!V:Z,4,FALSE)),"Error")</f>
        <v/>
      </c>
      <c r="AG22" s="172" t="str">
        <f t="shared" si="2"/>
        <v/>
      </c>
      <c r="AH22" s="174" t="str">
        <f t="shared" si="3"/>
        <v/>
      </c>
      <c r="AI22" s="172">
        <f t="shared" si="4"/>
        <v>0</v>
      </c>
      <c r="AJ22" s="174" t="str">
        <f t="shared" si="5"/>
        <v>MXN</v>
      </c>
    </row>
    <row r="23" spans="1:36" ht="18.75">
      <c r="A23" s="138" t="s">
        <v>590</v>
      </c>
      <c r="B23" s="139"/>
      <c r="C23" s="140"/>
      <c r="D23" s="147"/>
      <c r="E23" s="147"/>
      <c r="F23" s="147"/>
      <c r="G23" s="147"/>
      <c r="H23" s="147"/>
      <c r="I23" s="158"/>
      <c r="J23" s="311"/>
      <c r="K23" s="314"/>
      <c r="L23" s="160"/>
      <c r="M23" s="158"/>
      <c r="N23" s="159"/>
      <c r="O23" s="311"/>
      <c r="P23" s="311"/>
      <c r="Q23" s="314"/>
      <c r="R23" s="160"/>
      <c r="T23" s="168" t="str">
        <f t="shared" si="6"/>
        <v/>
      </c>
      <c r="U23" s="169" t="str">
        <f>IF($AE23="","",IF($H$139="USD",$AE23/(1+$AF23),IF($H$139='[1]Info I'!$G$3,$AE23/$R$12/(1+$AF23),"Error")))</f>
        <v/>
      </c>
      <c r="V23" s="170" t="str">
        <f>IF($AG23="","",IF($AH23="USD",$AG23,IF($AH23=Data!$AD$3,$AG23/$R$12,"Error")))</f>
        <v/>
      </c>
      <c r="W23" s="171" t="str">
        <f>IF($AI23="","",IF($AJ23="USD",$AI23,IF($AJ23='[1]Info I'!$G$3,$AI23/$R$12,"Error")))</f>
        <v/>
      </c>
      <c r="X23" s="169" t="str">
        <f t="shared" si="9"/>
        <v/>
      </c>
      <c r="Y23" s="332" t="str">
        <f t="shared" si="0"/>
        <v/>
      </c>
      <c r="Z23" s="351" t="str">
        <f>IF($AE23="","",IF($H$139="USD",$AE23/(1+$AF23),IF($H$139='[1]Info I'!$G$3,$AE23/$R$11/(1+$AF23),"Error")))</f>
        <v/>
      </c>
      <c r="AA23" s="352" t="str">
        <f>IF($AG23="","",IF($AH23="USD",$AG23,IF($AH23=Data!$AD$3,$AG23/$R$11,"Error")))</f>
        <v/>
      </c>
      <c r="AB23" s="353" t="str">
        <f>IF($AI23="","",IF($AJ23="USD",$AI23,IF($AJ23='[1]Info I'!$G$3,$AI23/$R$11,"Error")))</f>
        <v/>
      </c>
      <c r="AC23" s="354" t="str">
        <f t="shared" si="7"/>
        <v/>
      </c>
      <c r="AD23" s="355" t="str">
        <f t="shared" si="1"/>
        <v/>
      </c>
      <c r="AE23" s="172" t="str">
        <f t="shared" si="8"/>
        <v/>
      </c>
      <c r="AF23" s="173" t="str">
        <f>IFERROR(IF(T23="","",VLOOKUP(T23,Data!V:Z,4,FALSE)),"Error")</f>
        <v/>
      </c>
      <c r="AG23" s="172" t="str">
        <f t="shared" si="2"/>
        <v/>
      </c>
      <c r="AH23" s="174" t="str">
        <f t="shared" si="3"/>
        <v/>
      </c>
      <c r="AI23" s="172" t="str">
        <f t="shared" si="4"/>
        <v/>
      </c>
      <c r="AJ23" s="174" t="str">
        <f t="shared" si="5"/>
        <v/>
      </c>
    </row>
    <row r="24" spans="1:36" ht="18.75">
      <c r="A24" s="524" t="s">
        <v>600</v>
      </c>
      <c r="B24" s="451" t="str">
        <f>IF(Planner!C207="Love &amp; Vows",Planner!C207&amp;" - Photography",IF(_xlfn.XLOOKUP(Planner!C207,Data!P:P,Data!O:O)="","",_xlfn.XLOOKUP(Planner!C207,Data!P:P,Data!O:O)&amp;" - Photography"))</f>
        <v/>
      </c>
      <c r="C24" s="452"/>
      <c r="D24" s="148" t="str">
        <f>IF(B24="","",_xlfn.XLOOKUP(Planner!C207,Data!$P:$P,Data!$N:$N,""))</f>
        <v/>
      </c>
      <c r="E24" s="151">
        <v>1</v>
      </c>
      <c r="F24" s="155">
        <f>_xlfn.XLOOKUP(Planner!C207,Data!$P:$P,Data!$Q:$Q,"")</f>
        <v>0</v>
      </c>
      <c r="G24" s="155">
        <f>IFERROR(E24*F24,"")</f>
        <v>0</v>
      </c>
      <c r="H24" s="148" t="s">
        <v>21</v>
      </c>
      <c r="I24" s="119"/>
      <c r="J24" s="312"/>
      <c r="L24" s="157"/>
      <c r="M24" s="119"/>
      <c r="O24" s="312"/>
      <c r="P24" s="312"/>
      <c r="R24" s="157"/>
      <c r="T24" s="168" t="str">
        <f t="shared" si="6"/>
        <v/>
      </c>
      <c r="U24" s="169" t="str">
        <f>IF($AE24="","",IF($H$139="USD",$AE24/(1+$AF24),IF($H$139='[1]Info I'!$G$3,$AE24/$R$12/(1+$AF24),"Error")))</f>
        <v/>
      </c>
      <c r="V24" s="170" t="str">
        <f>IF($AG24="","",IF($AH24="USD",$AG24,IF($AH24=Data!$AD$3,$AG24/$R$12,"Error")))</f>
        <v/>
      </c>
      <c r="W24" s="171" t="str">
        <f>IF($AI24="","",IF($AJ24="USD",$AI24,IF($AJ24='[1]Info I'!$G$3,$AI24/$R$12,"Error")))</f>
        <v/>
      </c>
      <c r="X24" s="169" t="str">
        <f t="shared" si="9"/>
        <v/>
      </c>
      <c r="Y24" s="332" t="str">
        <f t="shared" si="0"/>
        <v/>
      </c>
      <c r="Z24" s="351" t="str">
        <f>IF($AE24="","",IF($H$139="USD",$AE24/(1+$AF24),IF($H$139='[1]Info I'!$G$3,$AE24/$R$11/(1+$AF24),"Error")))</f>
        <v/>
      </c>
      <c r="AA24" s="352" t="str">
        <f>IF($AG24="","",IF($AH24="USD",$AG24,IF($AH24=Data!$AD$3,$AG24/$R$11,"Error")))</f>
        <v/>
      </c>
      <c r="AB24" s="353" t="str">
        <f>IF($AI24="","",IF($AJ24="USD",$AI24,IF($AJ24='[1]Info I'!$G$3,$AI24/$R$11,"Error")))</f>
        <v/>
      </c>
      <c r="AC24" s="354" t="str">
        <f t="shared" si="7"/>
        <v/>
      </c>
      <c r="AD24" s="355" t="str">
        <f t="shared" si="1"/>
        <v/>
      </c>
      <c r="AE24" s="172" t="str">
        <f t="shared" si="8"/>
        <v/>
      </c>
      <c r="AF24" s="173" t="str">
        <f>IFERROR(IF(T24="","",VLOOKUP(T24,Data!V:Z,4,FALSE)),"Error")</f>
        <v/>
      </c>
      <c r="AG24" s="172" t="str">
        <f t="shared" si="2"/>
        <v/>
      </c>
      <c r="AH24" s="174" t="str">
        <f t="shared" si="3"/>
        <v/>
      </c>
      <c r="AI24" s="172" t="str">
        <f t="shared" si="4"/>
        <v/>
      </c>
      <c r="AJ24" s="174" t="str">
        <f t="shared" si="5"/>
        <v/>
      </c>
    </row>
    <row r="25" spans="1:36" ht="18.75">
      <c r="A25" s="524"/>
      <c r="B25" s="451" t="str">
        <f>IF(Planner!C208="Love &amp; Vows",Planner!C208&amp;" - Videography",IF(_xlfn.XLOOKUP(Planner!C208,Data!P:P,Data!O:O)="","",_xlfn.XLOOKUP(Planner!C208,Data!P:P,Data!O:O)&amp;" - Videography"))</f>
        <v/>
      </c>
      <c r="C25" s="452"/>
      <c r="D25" s="148" t="str">
        <f>IF(B25="","",_xlfn.XLOOKUP(Planner!C208,Data!$P:$P,Data!$N:$N,""))</f>
        <v/>
      </c>
      <c r="E25" s="151">
        <v>1</v>
      </c>
      <c r="F25" s="155">
        <f>_xlfn.XLOOKUP(Planner!C208,Data!$P:$P,Data!$Q:$Q,"")</f>
        <v>0</v>
      </c>
      <c r="G25" s="155">
        <f>IFERROR(E25*F25,"")</f>
        <v>0</v>
      </c>
      <c r="H25" s="148" t="s">
        <v>21</v>
      </c>
      <c r="I25" s="119"/>
      <c r="J25" s="312"/>
      <c r="L25" s="157"/>
      <c r="M25" s="119"/>
      <c r="O25" s="312"/>
      <c r="P25" s="312"/>
      <c r="R25" s="157"/>
      <c r="T25" s="168" t="str">
        <f t="shared" si="6"/>
        <v/>
      </c>
      <c r="U25" s="169" t="str">
        <f>IF($AE25="","",IF($H$139="USD",$AE25/(1+$AF25),IF($H$139='[1]Info I'!$G$3,$AE25/$R$12/(1+$AF25),"Error")))</f>
        <v/>
      </c>
      <c r="V25" s="170" t="str">
        <f>IF($AG25="","",IF($AH25="USD",$AG25,IF($AH25=Data!$AD$3,$AG25/$R$12,"Error")))</f>
        <v/>
      </c>
      <c r="W25" s="171" t="str">
        <f>IF($AI25="","",IF($AJ25="USD",$AI25,IF($AJ25='[1]Info I'!$G$3,$AI25/$R$12,"Error")))</f>
        <v/>
      </c>
      <c r="X25" s="169" t="str">
        <f t="shared" si="9"/>
        <v/>
      </c>
      <c r="Y25" s="332" t="str">
        <f t="shared" si="0"/>
        <v/>
      </c>
      <c r="Z25" s="351" t="str">
        <f>IF($AE25="","",IF($H$139="USD",$AE25/(1+$AF25),IF($H$139='[1]Info I'!$G$3,$AE25/$R$11/(1+$AF25),"Error")))</f>
        <v/>
      </c>
      <c r="AA25" s="352" t="str">
        <f>IF($AG25="","",IF($AH25="USD",$AG25,IF($AH25=Data!$AD$3,$AG25/$R$11,"Error")))</f>
        <v/>
      </c>
      <c r="AB25" s="353" t="str">
        <f>IF($AI25="","",IF($AJ25="USD",$AI25,IF($AJ25='[1]Info I'!$G$3,$AI25/$R$11,"Error")))</f>
        <v/>
      </c>
      <c r="AC25" s="354" t="str">
        <f t="shared" si="7"/>
        <v/>
      </c>
      <c r="AD25" s="355" t="str">
        <f t="shared" si="1"/>
        <v/>
      </c>
      <c r="AE25" s="172" t="str">
        <f t="shared" si="8"/>
        <v/>
      </c>
      <c r="AF25" s="173" t="str">
        <f>IFERROR(IF(T25="","",VLOOKUP(T25,Data!V:Z,4,FALSE)),"Error")</f>
        <v/>
      </c>
      <c r="AG25" s="172" t="str">
        <f t="shared" si="2"/>
        <v/>
      </c>
      <c r="AH25" s="174" t="str">
        <f t="shared" si="3"/>
        <v/>
      </c>
      <c r="AI25" s="172" t="str">
        <f t="shared" si="4"/>
        <v/>
      </c>
      <c r="AJ25" s="174" t="str">
        <f t="shared" si="5"/>
        <v/>
      </c>
    </row>
    <row r="26" spans="1:36" ht="18.75">
      <c r="A26" s="524"/>
      <c r="B26" s="451" t="str">
        <f>IF(Planner!C209="Love &amp; Vows",Planner!C209&amp;" - Content Creator",IF(_xlfn.XLOOKUP(Planner!C209,Data!P:P,Data!O:O)="","",_xlfn.XLOOKUP(Planner!C209,Data!P:P,Data!O:O)&amp;" - Content Creator"))</f>
        <v/>
      </c>
      <c r="C26" s="452"/>
      <c r="D26" s="148"/>
      <c r="E26" s="151"/>
      <c r="F26" s="155"/>
      <c r="G26" s="155"/>
      <c r="H26" s="148"/>
      <c r="I26" s="119"/>
      <c r="J26" s="312"/>
      <c r="L26" s="157"/>
      <c r="M26" s="119"/>
      <c r="O26" s="312"/>
      <c r="P26" s="312"/>
      <c r="R26" s="157"/>
      <c r="T26" s="168" t="str">
        <f t="shared" si="6"/>
        <v/>
      </c>
      <c r="U26" s="169" t="str">
        <f>IF($AE26="","",IF($H$139="USD",$AE26/(1+$AF26),IF($H$139='[1]Info I'!$G$3,$AE26/$R$12/(1+$AF26),"Error")))</f>
        <v/>
      </c>
      <c r="V26" s="170" t="str">
        <f>IF($AG26="","",IF($AH26="USD",$AG26,IF($AH26=Data!$AD$3,$AG26/$R$12,"Error")))</f>
        <v/>
      </c>
      <c r="W26" s="171" t="str">
        <f>IF($AI26="","",IF($AJ26="USD",$AI26,IF($AJ26='[1]Info I'!$G$3,$AI26/$R$12,"Error")))</f>
        <v/>
      </c>
      <c r="X26" s="169" t="str">
        <f t="shared" si="9"/>
        <v/>
      </c>
      <c r="Y26" s="332" t="str">
        <f t="shared" si="0"/>
        <v/>
      </c>
      <c r="Z26" s="351" t="str">
        <f>IF($AE26="","",IF($H$139="USD",$AE26/(1+$AF26),IF($H$139='[1]Info I'!$G$3,$AE26/$R$11/(1+$AF26),"Error")))</f>
        <v/>
      </c>
      <c r="AA26" s="352" t="str">
        <f>IF($AG26="","",IF($AH26="USD",$AG26,IF($AH26=Data!$AD$3,$AG26/$R$11,"Error")))</f>
        <v/>
      </c>
      <c r="AB26" s="353" t="str">
        <f>IF($AI26="","",IF($AJ26="USD",$AI26,IF($AJ26='[1]Info I'!$G$3,$AI26/$R$11,"Error")))</f>
        <v/>
      </c>
      <c r="AC26" s="354" t="str">
        <f t="shared" si="7"/>
        <v/>
      </c>
      <c r="AD26" s="355" t="str">
        <f t="shared" si="1"/>
        <v/>
      </c>
      <c r="AE26" s="172" t="str">
        <f t="shared" si="8"/>
        <v/>
      </c>
      <c r="AF26" s="173" t="str">
        <f>IFERROR(IF(T26="","",VLOOKUP(T26,Data!V:Z,4,FALSE)),"Error")</f>
        <v/>
      </c>
      <c r="AG26" s="172" t="str">
        <f t="shared" si="2"/>
        <v/>
      </c>
      <c r="AH26" s="174" t="str">
        <f t="shared" si="3"/>
        <v/>
      </c>
      <c r="AI26" s="172" t="str">
        <f t="shared" si="4"/>
        <v/>
      </c>
      <c r="AJ26" s="174" t="str">
        <f t="shared" si="5"/>
        <v/>
      </c>
    </row>
    <row r="27" spans="1:36" ht="18.75">
      <c r="A27" s="119"/>
      <c r="B27" s="451"/>
      <c r="C27" s="452"/>
      <c r="D27" s="148"/>
      <c r="E27" s="151"/>
      <c r="F27" s="155"/>
      <c r="G27" s="155"/>
      <c r="H27" s="148"/>
      <c r="I27" s="119"/>
      <c r="J27" s="312"/>
      <c r="L27" s="157"/>
      <c r="M27" s="119"/>
      <c r="O27" s="312"/>
      <c r="P27" s="312"/>
      <c r="R27" s="157"/>
      <c r="T27" s="168" t="str">
        <f t="shared" si="6"/>
        <v/>
      </c>
      <c r="U27" s="169" t="str">
        <f>IF($AE27="","",IF($H$139="USD",$AE27/(1+$AF27),IF($H$139='[1]Info I'!$G$3,$AE27/$R$12/(1+$AF27),"Error")))</f>
        <v/>
      </c>
      <c r="V27" s="170" t="str">
        <f>IF($AG27="","",IF($AH27="USD",$AG27,IF($AH27=Data!$AD$3,$AG27/$R$12,"Error")))</f>
        <v/>
      </c>
      <c r="W27" s="171" t="str">
        <f>IF($AI27="","",IF($AJ27="USD",$AI27,IF($AJ27='[1]Info I'!$G$3,$AI27/$R$12,"Error")))</f>
        <v/>
      </c>
      <c r="X27" s="169" t="str">
        <f t="shared" si="9"/>
        <v/>
      </c>
      <c r="Y27" s="332" t="str">
        <f t="shared" si="0"/>
        <v/>
      </c>
      <c r="Z27" s="351" t="str">
        <f>IF($AE27="","",IF($H$139="USD",$AE27/(1+$AF27),IF($H$139='[1]Info I'!$G$3,$AE27/$R$11/(1+$AF27),"Error")))</f>
        <v/>
      </c>
      <c r="AA27" s="352" t="str">
        <f>IF($AG27="","",IF($AH27="USD",$AG27,IF($AH27=Data!$AD$3,$AG27/$R$11,"Error")))</f>
        <v/>
      </c>
      <c r="AB27" s="353" t="str">
        <f>IF($AI27="","",IF($AJ27="USD",$AI27,IF($AJ27='[1]Info I'!$G$3,$AI27/$R$11,"Error")))</f>
        <v/>
      </c>
      <c r="AC27" s="354" t="str">
        <f t="shared" si="7"/>
        <v/>
      </c>
      <c r="AD27" s="355" t="str">
        <f t="shared" si="1"/>
        <v/>
      </c>
      <c r="AE27" s="172" t="str">
        <f t="shared" si="8"/>
        <v/>
      </c>
      <c r="AF27" s="173" t="str">
        <f>IFERROR(IF(T27="","",VLOOKUP(T27,Data!V:Z,4,FALSE)),"Error")</f>
        <v/>
      </c>
      <c r="AG27" s="172" t="str">
        <f t="shared" si="2"/>
        <v/>
      </c>
      <c r="AH27" s="174" t="str">
        <f t="shared" si="3"/>
        <v/>
      </c>
      <c r="AI27" s="172" t="str">
        <f t="shared" si="4"/>
        <v/>
      </c>
      <c r="AJ27" s="174" t="str">
        <f t="shared" si="5"/>
        <v/>
      </c>
    </row>
    <row r="28" spans="1:36" ht="18.75">
      <c r="A28" s="138" t="s">
        <v>22</v>
      </c>
      <c r="B28" s="139"/>
      <c r="C28" s="140"/>
      <c r="D28" s="147"/>
      <c r="E28" s="147"/>
      <c r="F28" s="147"/>
      <c r="G28" s="147"/>
      <c r="H28" s="147"/>
      <c r="I28" s="158"/>
      <c r="J28" s="311"/>
      <c r="K28" s="314"/>
      <c r="L28" s="160"/>
      <c r="M28" s="158"/>
      <c r="N28" s="159"/>
      <c r="O28" s="311"/>
      <c r="P28" s="311"/>
      <c r="Q28" s="314"/>
      <c r="R28" s="160"/>
      <c r="T28" s="168" t="str">
        <f t="shared" si="6"/>
        <v/>
      </c>
      <c r="U28" s="169" t="str">
        <f>IF($AE28="","",IF($H$139="USD",$AE28/(1+$AF28),IF($H$139='[1]Info I'!$G$3,$AE28/$R$12/(1+$AF28),"Error")))</f>
        <v/>
      </c>
      <c r="V28" s="170" t="str">
        <f>IF($AG28="","",IF($AH28="USD",$AG28,IF($AH28=Data!$AD$3,$AG28/$R$12,"Error")))</f>
        <v/>
      </c>
      <c r="W28" s="171" t="str">
        <f>IF($AI28="","",IF($AJ28="USD",$AI28,IF($AJ28='[1]Info I'!$G$3,$AI28/$R$12,"Error")))</f>
        <v/>
      </c>
      <c r="X28" s="169" t="str">
        <f t="shared" si="9"/>
        <v/>
      </c>
      <c r="Y28" s="332" t="str">
        <f t="shared" si="0"/>
        <v/>
      </c>
      <c r="Z28" s="351" t="str">
        <f>IF($AE28="","",IF($H$139="USD",$AE28/(1+$AF28),IF($H$139='[1]Info I'!$G$3,$AE28/$R$11/(1+$AF28),"Error")))</f>
        <v/>
      </c>
      <c r="AA28" s="352" t="str">
        <f>IF($AG28="","",IF($AH28="USD",$AG28,IF($AH28=Data!$AD$3,$AG28/$R$11,"Error")))</f>
        <v/>
      </c>
      <c r="AB28" s="353" t="str">
        <f>IF($AI28="","",IF($AJ28="USD",$AI28,IF($AJ28='[1]Info I'!$G$3,$AI28/$R$11,"Error")))</f>
        <v/>
      </c>
      <c r="AC28" s="354" t="str">
        <f t="shared" si="7"/>
        <v/>
      </c>
      <c r="AD28" s="355" t="str">
        <f t="shared" si="1"/>
        <v/>
      </c>
      <c r="AE28" s="172" t="str">
        <f t="shared" si="8"/>
        <v/>
      </c>
      <c r="AF28" s="173" t="str">
        <f>IFERROR(IF(T28="","",VLOOKUP(T28,Data!V:Z,4,FALSE)),"Error")</f>
        <v/>
      </c>
      <c r="AG28" s="172" t="str">
        <f t="shared" si="2"/>
        <v/>
      </c>
      <c r="AH28" s="174" t="str">
        <f t="shared" si="3"/>
        <v/>
      </c>
      <c r="AI28" s="172" t="str">
        <f t="shared" si="4"/>
        <v/>
      </c>
      <c r="AJ28" s="174" t="str">
        <f t="shared" si="5"/>
        <v/>
      </c>
    </row>
    <row r="29" spans="1:36" ht="18.75">
      <c r="A29" s="141" t="s">
        <v>601</v>
      </c>
      <c r="B29" s="451"/>
      <c r="C29" s="452"/>
      <c r="D29" s="148"/>
      <c r="E29" s="151"/>
      <c r="F29" s="155"/>
      <c r="G29" s="155"/>
      <c r="H29" s="148"/>
      <c r="I29" s="119"/>
      <c r="J29" s="312"/>
      <c r="L29" s="157"/>
      <c r="M29" s="119"/>
      <c r="O29" s="312"/>
      <c r="P29" s="312"/>
      <c r="R29" s="157"/>
      <c r="T29" s="168" t="str">
        <f t="shared" si="6"/>
        <v/>
      </c>
      <c r="U29" s="169" t="str">
        <f>IF($AE29="","",IF($H$139="USD",$AE29/(1+$AF29),IF($H$139='[1]Info I'!$G$3,$AE29/$R$12/(1+$AF29),"Error")))</f>
        <v/>
      </c>
      <c r="V29" s="170" t="str">
        <f>IF($AG29="","",IF($AH29="USD",$AG29,IF($AH29=Data!$AD$3,$AG29/$R$12,"Error")))</f>
        <v/>
      </c>
      <c r="W29" s="171" t="str">
        <f>IF($AI29="","",IF($AJ29="USD",$AI29,IF($AJ29='[1]Info I'!$G$3,$AI29/$R$12,"Error")))</f>
        <v/>
      </c>
      <c r="X29" s="169" t="str">
        <f t="shared" si="9"/>
        <v/>
      </c>
      <c r="Y29" s="332" t="str">
        <f t="shared" si="0"/>
        <v/>
      </c>
      <c r="Z29" s="351" t="str">
        <f>IF($AE29="","",IF($H$139="USD",$AE29/(1+$AF29),IF($H$139='[1]Info I'!$G$3,$AE29/$R$11/(1+$AF29),"Error")))</f>
        <v/>
      </c>
      <c r="AA29" s="352" t="str">
        <f>IF($AG29="","",IF($AH29="USD",$AG29,IF($AH29=Data!$AD$3,$AG29/$R$11,"Error")))</f>
        <v/>
      </c>
      <c r="AB29" s="353" t="str">
        <f>IF($AI29="","",IF($AJ29="USD",$AI29,IF($AJ29='[1]Info I'!$G$3,$AI29/$R$11,"Error")))</f>
        <v/>
      </c>
      <c r="AC29" s="354" t="str">
        <f t="shared" si="7"/>
        <v/>
      </c>
      <c r="AD29" s="355" t="str">
        <f t="shared" si="1"/>
        <v/>
      </c>
      <c r="AE29" s="172" t="str">
        <f t="shared" si="8"/>
        <v/>
      </c>
      <c r="AF29" s="173" t="str">
        <f>IFERROR(IF(T29="","",VLOOKUP(T29,Data!V:Z,4,FALSE)),"Error")</f>
        <v/>
      </c>
      <c r="AG29" s="172" t="str">
        <f t="shared" si="2"/>
        <v/>
      </c>
      <c r="AH29" s="174" t="str">
        <f t="shared" si="3"/>
        <v/>
      </c>
      <c r="AI29" s="172" t="str">
        <f t="shared" si="4"/>
        <v/>
      </c>
      <c r="AJ29" s="174" t="str">
        <f t="shared" si="5"/>
        <v/>
      </c>
    </row>
    <row r="30" spans="1:36" ht="18.75">
      <c r="A30" s="119"/>
      <c r="B30" s="522" t="s">
        <v>594</v>
      </c>
      <c r="C30" s="523"/>
      <c r="D30" s="148"/>
      <c r="E30" s="151"/>
      <c r="F30" s="155"/>
      <c r="G30" s="155"/>
      <c r="H30" s="148"/>
      <c r="I30" s="119"/>
      <c r="J30" s="312"/>
      <c r="L30" s="157"/>
      <c r="M30" s="119"/>
      <c r="O30" s="312"/>
      <c r="P30" s="312"/>
      <c r="R30" s="157"/>
      <c r="T30" s="168" t="str">
        <f t="shared" si="6"/>
        <v/>
      </c>
      <c r="U30" s="169" t="str">
        <f>IF($AE30="","",IF($H$139="USD",$AE30/(1+$AF30),IF($H$139='[1]Info I'!$G$3,$AE30/$R$12/(1+$AF30),"Error")))</f>
        <v/>
      </c>
      <c r="V30" s="170" t="str">
        <f>IF($AG30="","",IF($AH30="USD",$AG30,IF($AH30=Data!$AD$3,$AG30/$R$12,"Error")))</f>
        <v/>
      </c>
      <c r="W30" s="171" t="str">
        <f>IF($AI30="","",IF($AJ30="USD",$AI30,IF($AJ30='[1]Info I'!$G$3,$AI30/$R$12,"Error")))</f>
        <v/>
      </c>
      <c r="X30" s="169" t="str">
        <f t="shared" si="9"/>
        <v/>
      </c>
      <c r="Y30" s="332" t="str">
        <f t="shared" si="0"/>
        <v/>
      </c>
      <c r="Z30" s="351" t="str">
        <f>IF($AE30="","",IF($H$139="USD",$AE30/(1+$AF30),IF($H$139='[1]Info I'!$G$3,$AE30/$R$11/(1+$AF30),"Error")))</f>
        <v/>
      </c>
      <c r="AA30" s="352" t="str">
        <f>IF($AG30="","",IF($AH30="USD",$AG30,IF($AH30=Data!$AD$3,$AG30/$R$11,"Error")))</f>
        <v/>
      </c>
      <c r="AB30" s="353" t="str">
        <f>IF($AI30="","",IF($AJ30="USD",$AI30,IF($AJ30='[1]Info I'!$G$3,$AI30/$R$11,"Error")))</f>
        <v/>
      </c>
      <c r="AC30" s="354" t="str">
        <f t="shared" si="7"/>
        <v/>
      </c>
      <c r="AD30" s="355" t="str">
        <f t="shared" si="1"/>
        <v/>
      </c>
      <c r="AE30" s="172" t="str">
        <f t="shared" si="8"/>
        <v/>
      </c>
      <c r="AF30" s="173" t="str">
        <f>IFERROR(IF(T30="","",VLOOKUP(T30,Data!V:Z,4,FALSE)),"Error")</f>
        <v/>
      </c>
      <c r="AG30" s="172" t="str">
        <f t="shared" si="2"/>
        <v/>
      </c>
      <c r="AH30" s="174" t="str">
        <f t="shared" si="3"/>
        <v/>
      </c>
      <c r="AI30" s="172" t="str">
        <f t="shared" si="4"/>
        <v/>
      </c>
      <c r="AJ30" s="174" t="str">
        <f t="shared" si="5"/>
        <v/>
      </c>
    </row>
    <row r="31" spans="1:36" ht="18.75">
      <c r="A31" s="138" t="s">
        <v>0</v>
      </c>
      <c r="B31" s="139"/>
      <c r="C31" s="140"/>
      <c r="D31" s="147"/>
      <c r="E31" s="147"/>
      <c r="F31" s="147"/>
      <c r="G31" s="147"/>
      <c r="H31" s="147"/>
      <c r="I31" s="158"/>
      <c r="J31" s="311"/>
      <c r="K31" s="314"/>
      <c r="L31" s="160"/>
      <c r="M31" s="158"/>
      <c r="N31" s="159"/>
      <c r="O31" s="311"/>
      <c r="P31" s="311"/>
      <c r="Q31" s="314"/>
      <c r="R31" s="160"/>
      <c r="T31" s="168" t="str">
        <f t="shared" si="6"/>
        <v/>
      </c>
      <c r="U31" s="169" t="str">
        <f>IF($AE31="","",IF($H$139="USD",$AE31/(1+$AF31),IF($H$139='[1]Info I'!$G$3,$AE31/$R$12/(1+$AF31),"Error")))</f>
        <v/>
      </c>
      <c r="V31" s="170" t="str">
        <f>IF($AG31="","",IF($AH31="USD",$AG31,IF($AH31=Data!$AD$3,$AG31/$R$12,"Error")))</f>
        <v/>
      </c>
      <c r="W31" s="171" t="str">
        <f>IF($AI31="","",IF($AJ31="USD",$AI31,IF($AJ31='[1]Info I'!$G$3,$AI31/$R$12,"Error")))</f>
        <v/>
      </c>
      <c r="X31" s="169" t="str">
        <f t="shared" si="9"/>
        <v/>
      </c>
      <c r="Y31" s="332" t="str">
        <f t="shared" si="0"/>
        <v/>
      </c>
      <c r="Z31" s="351" t="str">
        <f>IF($AE31="","",IF($H$139="USD",$AE31/(1+$AF31),IF($H$139='[1]Info I'!$G$3,$AE31/$R$11/(1+$AF31),"Error")))</f>
        <v/>
      </c>
      <c r="AA31" s="352" t="str">
        <f>IF($AG31="","",IF($AH31="USD",$AG31,IF($AH31=Data!$AD$3,$AG31/$R$11,"Error")))</f>
        <v/>
      </c>
      <c r="AB31" s="353" t="str">
        <f>IF($AI31="","",IF($AJ31="USD",$AI31,IF($AJ31='[1]Info I'!$G$3,$AI31/$R$11,"Error")))</f>
        <v/>
      </c>
      <c r="AC31" s="354" t="str">
        <f t="shared" si="7"/>
        <v/>
      </c>
      <c r="AD31" s="355" t="str">
        <f t="shared" si="1"/>
        <v/>
      </c>
      <c r="AE31" s="172" t="str">
        <f t="shared" si="8"/>
        <v/>
      </c>
      <c r="AF31" s="173" t="str">
        <f>IFERROR(IF(T31="","",VLOOKUP(T31,Data!V:Z,4,FALSE)),"Error")</f>
        <v/>
      </c>
      <c r="AG31" s="172" t="str">
        <f t="shared" si="2"/>
        <v/>
      </c>
      <c r="AH31" s="174" t="str">
        <f t="shared" si="3"/>
        <v/>
      </c>
      <c r="AI31" s="172" t="str">
        <f t="shared" si="4"/>
        <v/>
      </c>
      <c r="AJ31" s="174" t="str">
        <f t="shared" si="5"/>
        <v/>
      </c>
    </row>
    <row r="32" spans="1:36" ht="18.75">
      <c r="A32" s="456" t="s">
        <v>274</v>
      </c>
      <c r="B32" s="451" t="str">
        <f>IF(Planner!$C$30="","",Planner!$C$30&amp;" - "&amp;Planner!$C$31)</f>
        <v/>
      </c>
      <c r="C32" s="452"/>
      <c r="D32" s="148" t="str">
        <f>IF(B32="","",_xlfn.XLOOKUP(Planner!C30,Data!$P:$P,Data!$N:$N,""))</f>
        <v/>
      </c>
      <c r="E32" s="151">
        <v>1</v>
      </c>
      <c r="F32" s="155">
        <f>_xlfn.XLOOKUP(Planner!C30,Data!$P:$P,Data!$Q:$Q,"")</f>
        <v>0</v>
      </c>
      <c r="G32" s="155">
        <f t="shared" ref="G32:G38" si="10">IFERROR(E32*F32,"")</f>
        <v>0</v>
      </c>
      <c r="H32" s="148" t="s">
        <v>21</v>
      </c>
      <c r="I32" s="119"/>
      <c r="J32" s="312"/>
      <c r="L32" s="157"/>
      <c r="M32" s="163"/>
      <c r="O32" s="312"/>
      <c r="P32" s="312"/>
      <c r="R32" s="157"/>
      <c r="T32" s="168" t="str">
        <f t="shared" si="6"/>
        <v/>
      </c>
      <c r="U32" s="169" t="str">
        <f>IF($AE32="","",IF($H$139="USD",$AE32/(1+$AF32),IF($H$139='[1]Info I'!$G$3,$AE32/$R$12/(1+$AF32),"Error")))</f>
        <v/>
      </c>
      <c r="V32" s="170" t="str">
        <f>IF($AG32="","",IF($AH32="USD",$AG32,IF($AH32=Data!$AD$3,$AG32/$R$12,"Error")))</f>
        <v/>
      </c>
      <c r="W32" s="171" t="str">
        <f>IF($AI32="","",IF($AJ32="USD",$AI32,IF($AJ32='[1]Info I'!$G$3,$AI32/$R$12,"Error")))</f>
        <v/>
      </c>
      <c r="X32" s="169" t="str">
        <f t="shared" si="9"/>
        <v/>
      </c>
      <c r="Y32" s="332" t="str">
        <f t="shared" si="0"/>
        <v/>
      </c>
      <c r="Z32" s="351" t="str">
        <f>IF($AE32="","",IF($H$139="USD",$AE32/(1+$AF32),IF($H$139='[1]Info I'!$G$3,$AE32/$R$11/(1+$AF32),"Error")))</f>
        <v/>
      </c>
      <c r="AA32" s="352" t="str">
        <f>IF($AG32="","",IF($AH32="USD",$AG32,IF($AH32=Data!$AD$3,$AG32/$R$11,"Error")))</f>
        <v/>
      </c>
      <c r="AB32" s="353" t="str">
        <f>IF($AI32="","",IF($AJ32="USD",$AI32,IF($AJ32='[1]Info I'!$G$3,$AI32/$R$11,"Error")))</f>
        <v/>
      </c>
      <c r="AC32" s="354" t="str">
        <f t="shared" si="7"/>
        <v/>
      </c>
      <c r="AD32" s="355" t="str">
        <f t="shared" si="1"/>
        <v/>
      </c>
      <c r="AE32" s="172" t="str">
        <f t="shared" si="8"/>
        <v/>
      </c>
      <c r="AF32" s="173" t="str">
        <f>IFERROR(IF(T32="","",VLOOKUP(T32,Data!V:Z,4,FALSE)),"Error")</f>
        <v/>
      </c>
      <c r="AG32" s="172" t="str">
        <f t="shared" si="2"/>
        <v/>
      </c>
      <c r="AH32" s="174" t="str">
        <f t="shared" si="3"/>
        <v/>
      </c>
      <c r="AI32" s="172" t="str">
        <f t="shared" si="4"/>
        <v/>
      </c>
      <c r="AJ32" s="174" t="str">
        <f t="shared" si="5"/>
        <v/>
      </c>
    </row>
    <row r="33" spans="1:36" ht="18.75">
      <c r="A33" s="519"/>
      <c r="B33" s="451" t="str">
        <f>IF(ISNUMBER(SEARCH("$", Planner!$E$29)), Planner!$E$29, "")</f>
        <v/>
      </c>
      <c r="C33" s="452"/>
      <c r="D33" s="148" t="str">
        <f>_xlfn.XLOOKUP(Invoice!B33,Data!$P:$P,Data!$N:$N,"")</f>
        <v/>
      </c>
      <c r="E33" s="151">
        <v>1</v>
      </c>
      <c r="F33" s="155" t="str">
        <f>_xlfn.XLOOKUP($B33,Data!$P:$P,Data!$Q:$Q,"")</f>
        <v/>
      </c>
      <c r="G33" s="155" t="str">
        <f t="shared" si="10"/>
        <v/>
      </c>
      <c r="H33" s="148" t="s">
        <v>21</v>
      </c>
      <c r="I33" s="119"/>
      <c r="J33" s="312"/>
      <c r="L33" s="157"/>
      <c r="M33" s="119"/>
      <c r="O33" s="312"/>
      <c r="P33" s="312"/>
      <c r="R33" s="157"/>
      <c r="T33" s="168" t="str">
        <f t="shared" si="6"/>
        <v/>
      </c>
      <c r="U33" s="169" t="str">
        <f>IF($AE33="","",IF($H$139="USD",$AE33/(1+$AF33),IF($H$139='[1]Info I'!$G$3,$AE33/$R$12/(1+$AF33),"Error")))</f>
        <v/>
      </c>
      <c r="V33" s="170" t="str">
        <f>IF($AG33="","",IF($AH33="USD",$AG33,IF($AH33=Data!$AD$3,$AG33/$R$12,"Error")))</f>
        <v/>
      </c>
      <c r="W33" s="171" t="str">
        <f>IF($AI33="","",IF($AJ33="USD",$AI33,IF($AJ33='[1]Info I'!$G$3,$AI33/$R$12,"Error")))</f>
        <v/>
      </c>
      <c r="X33" s="169" t="str">
        <f t="shared" si="9"/>
        <v/>
      </c>
      <c r="Y33" s="332" t="str">
        <f t="shared" si="0"/>
        <v/>
      </c>
      <c r="Z33" s="351" t="str">
        <f>IF($AE33="","",IF($H$139="USD",$AE33/(1+$AF33),IF($H$139='[1]Info I'!$G$3,$AE33/$R$11/(1+$AF33),"Error")))</f>
        <v/>
      </c>
      <c r="AA33" s="352" t="str">
        <f>IF($AG33="","",IF($AH33="USD",$AG33,IF($AH33=Data!$AD$3,$AG33/$R$11,"Error")))</f>
        <v/>
      </c>
      <c r="AB33" s="353" t="str">
        <f>IF($AI33="","",IF($AJ33="USD",$AI33,IF($AJ33='[1]Info I'!$G$3,$AI33/$R$11,"Error")))</f>
        <v/>
      </c>
      <c r="AC33" s="354" t="str">
        <f t="shared" si="7"/>
        <v/>
      </c>
      <c r="AD33" s="355" t="str">
        <f t="shared" si="1"/>
        <v/>
      </c>
      <c r="AE33" s="172" t="str">
        <f t="shared" si="8"/>
        <v/>
      </c>
      <c r="AF33" s="173" t="str">
        <f>IFERROR(IF(T33="","",VLOOKUP(T33,Data!V:Z,4,FALSE)),"Error")</f>
        <v/>
      </c>
      <c r="AG33" s="172" t="str">
        <f t="shared" si="2"/>
        <v/>
      </c>
      <c r="AH33" s="174" t="str">
        <f t="shared" si="3"/>
        <v/>
      </c>
      <c r="AI33" s="172" t="str">
        <f t="shared" si="4"/>
        <v/>
      </c>
      <c r="AJ33" s="174" t="str">
        <f t="shared" si="5"/>
        <v/>
      </c>
    </row>
    <row r="34" spans="1:36" ht="18.75">
      <c r="A34" s="141" t="s">
        <v>424</v>
      </c>
      <c r="B34" s="451">
        <f>IF(Planner!$G$30 = "Sound System only", "", Planner!$G$30)</f>
        <v>0</v>
      </c>
      <c r="C34" s="452"/>
      <c r="D34" s="148" t="str">
        <f>_xlfn.XLOOKUP(Invoice!B34,Data!$P:$P,Data!$N:$N,"")</f>
        <v/>
      </c>
      <c r="E34" s="151">
        <v>1</v>
      </c>
      <c r="F34" s="155" t="str">
        <f>_xlfn.XLOOKUP($B34,Data!$P:$P,Data!$Q:$Q,"")</f>
        <v/>
      </c>
      <c r="G34" s="155" t="str">
        <f t="shared" si="10"/>
        <v/>
      </c>
      <c r="H34" s="148" t="s">
        <v>21</v>
      </c>
      <c r="I34" s="119" t="str">
        <f>_xlfn.XLOOKUP(B34,Data!P:P,Data!O:O,"")</f>
        <v/>
      </c>
      <c r="J34" s="312" t="str">
        <f>_xlfn.XLOOKUP(B34,Data!P:P,Data!R:R,"")</f>
        <v/>
      </c>
      <c r="K34" s="118" t="str">
        <f>_xlfn.XLOOKUP(B34,Data!P:P,Data!S:S,"")</f>
        <v/>
      </c>
      <c r="L34" s="157"/>
      <c r="M34" s="119"/>
      <c r="O34" s="312"/>
      <c r="P34" s="312"/>
      <c r="R34" s="157"/>
      <c r="T34" s="168" t="str">
        <f t="shared" si="6"/>
        <v/>
      </c>
      <c r="U34" s="169" t="str">
        <f>IF($AE34="","",IF($H$139="USD",$AE34/(1+$AF34),IF($H$139='[1]Info I'!$G$3,$AE34/$R$12/(1+$AF34),"Error")))</f>
        <v/>
      </c>
      <c r="V34" s="170" t="str">
        <f>IF($AG34="","",IF($AH34="USD",$AG34,IF($AH34=Data!$AD$3,$AG34/$R$12,"Error")))</f>
        <v/>
      </c>
      <c r="W34" s="171" t="str">
        <f>IF($AI34="","",IF($AJ34="USD",$AI34,IF($AJ34='[1]Info I'!$G$3,$AI34/$R$12,"Error")))</f>
        <v/>
      </c>
      <c r="X34" s="169" t="str">
        <f t="shared" si="9"/>
        <v/>
      </c>
      <c r="Y34" s="332" t="str">
        <f t="shared" si="0"/>
        <v/>
      </c>
      <c r="Z34" s="351" t="str">
        <f>IF($AE34="","",IF($H$139="USD",$AE34/(1+$AF34),IF($H$139='[1]Info I'!$G$3,$AE34/$R$11/(1+$AF34),"Error")))</f>
        <v/>
      </c>
      <c r="AA34" s="352" t="str">
        <f>IF($AG34="","",IF($AH34="USD",$AG34,IF($AH34=Data!$AD$3,$AG34/$R$11,"Error")))</f>
        <v/>
      </c>
      <c r="AB34" s="353" t="str">
        <f>IF($AI34="","",IF($AJ34="USD",$AI34,IF($AJ34='[1]Info I'!$G$3,$AI34/$R$11,"Error")))</f>
        <v/>
      </c>
      <c r="AC34" s="354" t="str">
        <f t="shared" si="7"/>
        <v/>
      </c>
      <c r="AD34" s="355" t="str">
        <f t="shared" si="1"/>
        <v/>
      </c>
      <c r="AE34" s="172" t="str">
        <f t="shared" si="8"/>
        <v/>
      </c>
      <c r="AF34" s="173" t="str">
        <f>IFERROR(IF(T34="","",VLOOKUP(T34,Data!V:Z,4,FALSE)),"Error")</f>
        <v/>
      </c>
      <c r="AG34" s="172" t="str">
        <f t="shared" si="2"/>
        <v/>
      </c>
      <c r="AH34" s="174" t="str">
        <f t="shared" si="3"/>
        <v/>
      </c>
      <c r="AI34" s="172" t="str">
        <f t="shared" si="4"/>
        <v/>
      </c>
      <c r="AJ34" s="174" t="str">
        <f t="shared" si="5"/>
        <v/>
      </c>
    </row>
    <row r="35" spans="1:36" ht="18.75">
      <c r="A35" s="455" t="s">
        <v>247</v>
      </c>
      <c r="B35" s="451" t="str">
        <f>IF(Planner!$C$35="","","Decor pckg - "&amp;Planner!$C$35)</f>
        <v/>
      </c>
      <c r="C35" s="452"/>
      <c r="D35" s="148" t="str">
        <f>IF(B35="","",_xlfn.XLOOKUP(Planner!$C$35,Data!$P:$P,Data!$N:$N,""))</f>
        <v/>
      </c>
      <c r="E35" s="151">
        <v>1</v>
      </c>
      <c r="F35" s="155">
        <f>_xlfn.XLOOKUP(Planner!$C$35,Data!$P:$P,Data!$Q:$Q,"")</f>
        <v>0</v>
      </c>
      <c r="G35" s="155">
        <f t="shared" si="10"/>
        <v>0</v>
      </c>
      <c r="H35" s="148" t="s">
        <v>21</v>
      </c>
      <c r="I35" s="119">
        <f>_xlfn.XLOOKUP(Planner!C35,Data!P:P,Data!O:O,"")</f>
        <v>0</v>
      </c>
      <c r="J35" s="312">
        <f>_xlfn.XLOOKUP(Planner!C35,Data!P:P,Data!R:R,"")</f>
        <v>0</v>
      </c>
      <c r="K35" s="118" t="str">
        <f>_xlfn.XLOOKUP(Planner!C35,Data!P:P,Data!S:S,"")</f>
        <v>MXN</v>
      </c>
      <c r="L35" s="157"/>
      <c r="M35" s="119"/>
      <c r="O35" s="312"/>
      <c r="P35" s="312"/>
      <c r="R35" s="157"/>
      <c r="T35" s="168" t="str">
        <f t="shared" si="6"/>
        <v/>
      </c>
      <c r="U35" s="169" t="str">
        <f>IF($AE35="","",IF($H$139="USD",$AE35/(1+$AF35),IF($H$139='[1]Info I'!$G$3,$AE35/$R$12/(1+$AF35),"Error")))</f>
        <v/>
      </c>
      <c r="V35" s="170">
        <f>IF($AG35="","",IF($AH35="USD",$AG35,IF($AH35=Data!$AD$3,$AG35/$R$12,"Error")))</f>
        <v>0</v>
      </c>
      <c r="W35" s="171" t="str">
        <f>IF($AI35="","",IF($AJ35="USD",$AI35,IF($AJ35='[1]Info I'!$G$3,$AI35/$R$12,"Error")))</f>
        <v/>
      </c>
      <c r="X35" s="169" t="str">
        <f t="shared" si="9"/>
        <v/>
      </c>
      <c r="Y35" s="332" t="str">
        <f t="shared" si="0"/>
        <v/>
      </c>
      <c r="Z35" s="351" t="str">
        <f>IF($AE35="","",IF($H$139="USD",$AE35/(1+$AF35),IF($H$139='[1]Info I'!$G$3,$AE35/$R$11/(1+$AF35),"Error")))</f>
        <v/>
      </c>
      <c r="AA35" s="352">
        <f>IF($AG35="","",IF($AH35="USD",$AG35,IF($AH35=Data!$AD$3,$AG35/$R$11,"Error")))</f>
        <v>0</v>
      </c>
      <c r="AB35" s="353" t="str">
        <f>IF($AI35="","",IF($AJ35="USD",$AI35,IF($AJ35='[1]Info I'!$G$3,$AI35/$R$11,"Error")))</f>
        <v/>
      </c>
      <c r="AC35" s="354" t="str">
        <f t="shared" si="7"/>
        <v/>
      </c>
      <c r="AD35" s="355" t="str">
        <f t="shared" si="1"/>
        <v/>
      </c>
      <c r="AE35" s="172" t="str">
        <f t="shared" si="8"/>
        <v/>
      </c>
      <c r="AF35" s="173" t="str">
        <f>IFERROR(IF(T35="","",VLOOKUP(T35,Data!V:Z,4,FALSE)),"Error")</f>
        <v/>
      </c>
      <c r="AG35" s="172">
        <f t="shared" si="2"/>
        <v>0</v>
      </c>
      <c r="AH35" s="174" t="str">
        <f t="shared" si="3"/>
        <v>MXN</v>
      </c>
      <c r="AI35" s="172" t="str">
        <f t="shared" si="4"/>
        <v/>
      </c>
      <c r="AJ35" s="174" t="str">
        <f t="shared" si="5"/>
        <v/>
      </c>
    </row>
    <row r="36" spans="1:36" ht="18.75">
      <c r="A36" s="456"/>
      <c r="B36" s="451" t="str">
        <f>IF(Planner!C36="","","Decor pckg - "&amp;Planner!$C$36)</f>
        <v/>
      </c>
      <c r="C36" s="452"/>
      <c r="D36" s="148" t="str">
        <f>_xlfn.XLOOKUP(Planner!$C$36,Data!$P:$P,Data!$N:$N,"")</f>
        <v/>
      </c>
      <c r="E36" s="151">
        <f>Planner!E36</f>
        <v>0</v>
      </c>
      <c r="F36" s="155" t="str">
        <f>_xlfn.XLOOKUP(Planner!$C$36,Data!$P:$P,Data!$Q:$Q,"")</f>
        <v/>
      </c>
      <c r="G36" s="155" t="str">
        <f t="shared" si="10"/>
        <v/>
      </c>
      <c r="H36" s="148" t="s">
        <v>21</v>
      </c>
      <c r="I36" s="119" t="str">
        <f>_xlfn.XLOOKUP(Planner!C36,Data!P:P,Data!O:O,"")</f>
        <v/>
      </c>
      <c r="J36" s="312" t="str">
        <f>_xlfn.XLOOKUP(Planner!C36,Data!P:P,Data!R:R,"")</f>
        <v/>
      </c>
      <c r="K36" s="118" t="str">
        <f>_xlfn.XLOOKUP(Planner!C36,Data!P:P,Data!S:S,"")</f>
        <v/>
      </c>
      <c r="L36" s="157"/>
      <c r="M36" s="119"/>
      <c r="O36" s="312"/>
      <c r="P36" s="312"/>
      <c r="R36" s="157"/>
      <c r="T36" s="168" t="str">
        <f t="shared" si="6"/>
        <v/>
      </c>
      <c r="U36" s="169" t="str">
        <f>IF($AE36="","",IF($H$139="USD",$AE36/(1+$AF36),IF($H$139='[1]Info I'!$G$3,$AE36/$R$12/(1+$AF36),"Error")))</f>
        <v/>
      </c>
      <c r="V36" s="170" t="str">
        <f>IF($AG36="","",IF($AH36="USD",$AG36,IF($AH36=Data!$AD$3,$AG36/$R$12,"Error")))</f>
        <v/>
      </c>
      <c r="W36" s="171" t="str">
        <f>IF($AI36="","",IF($AJ36="USD",$AI36,IF($AJ36='[1]Info I'!$G$3,$AI36/$R$12,"Error")))</f>
        <v/>
      </c>
      <c r="X36" s="169" t="str">
        <f t="shared" si="9"/>
        <v/>
      </c>
      <c r="Y36" s="332" t="str">
        <f t="shared" si="0"/>
        <v/>
      </c>
      <c r="Z36" s="351" t="str">
        <f>IF($AE36="","",IF($H$139="USD",$AE36/(1+$AF36),IF($H$139='[1]Info I'!$G$3,$AE36/$R$11/(1+$AF36),"Error")))</f>
        <v/>
      </c>
      <c r="AA36" s="352" t="str">
        <f>IF($AG36="","",IF($AH36="USD",$AG36,IF($AH36=Data!$AD$3,$AG36/$R$11,"Error")))</f>
        <v/>
      </c>
      <c r="AB36" s="353" t="str">
        <f>IF($AI36="","",IF($AJ36="USD",$AI36,IF($AJ36='[1]Info I'!$G$3,$AI36/$R$11,"Error")))</f>
        <v/>
      </c>
      <c r="AC36" s="354" t="str">
        <f t="shared" si="7"/>
        <v/>
      </c>
      <c r="AD36" s="355" t="str">
        <f t="shared" si="1"/>
        <v/>
      </c>
      <c r="AE36" s="172" t="str">
        <f t="shared" si="8"/>
        <v/>
      </c>
      <c r="AF36" s="173" t="str">
        <f>IFERROR(IF(T36="","",VLOOKUP(T36,Data!V:Z,4,FALSE)),"Error")</f>
        <v/>
      </c>
      <c r="AG36" s="172" t="str">
        <f t="shared" si="2"/>
        <v/>
      </c>
      <c r="AH36" s="174" t="str">
        <f t="shared" si="3"/>
        <v/>
      </c>
      <c r="AI36" s="172" t="str">
        <f t="shared" si="4"/>
        <v/>
      </c>
      <c r="AJ36" s="174" t="str">
        <f t="shared" si="5"/>
        <v/>
      </c>
    </row>
    <row r="37" spans="1:36" ht="18.75">
      <c r="A37" s="456"/>
      <c r="B37" s="451">
        <f>IF(Planner!C42="Family/Friends","",Planner!$C$42)</f>
        <v>0</v>
      </c>
      <c r="C37" s="452"/>
      <c r="D37" s="148" t="str">
        <f>_xlfn.XLOOKUP(Invoice!B37,Data!$P:$P,Data!$N:$N,"")</f>
        <v/>
      </c>
      <c r="E37" s="151">
        <v>1</v>
      </c>
      <c r="F37" s="155" t="str">
        <f>_xlfn.XLOOKUP($B37,Data!$P:$P,Data!$Q:$Q,"")</f>
        <v/>
      </c>
      <c r="G37" s="155" t="str">
        <f t="shared" si="10"/>
        <v/>
      </c>
      <c r="H37" s="148" t="s">
        <v>21</v>
      </c>
      <c r="I37" s="119" t="str">
        <f>_xlfn.XLOOKUP(B37,Data!P:P,Data!O:O,"")</f>
        <v/>
      </c>
      <c r="J37" s="312" t="str">
        <f>_xlfn.XLOOKUP(B37,Data!P:P,Data!R:R,"")</f>
        <v/>
      </c>
      <c r="K37" s="118" t="str">
        <f>_xlfn.XLOOKUP(B37,Data!P:P,Data!S:S,"")</f>
        <v/>
      </c>
      <c r="L37" s="157"/>
      <c r="M37" s="119"/>
      <c r="O37" s="312"/>
      <c r="P37" s="312"/>
      <c r="R37" s="157"/>
      <c r="T37" s="168" t="str">
        <f t="shared" si="6"/>
        <v/>
      </c>
      <c r="U37" s="169" t="str">
        <f>IF($AE37="","",IF($H$139="USD",$AE37/(1+$AF37),IF($H$139='[1]Info I'!$G$3,$AE37/$R$12/(1+$AF37),"Error")))</f>
        <v/>
      </c>
      <c r="V37" s="170" t="str">
        <f>IF($AG37="","",IF($AH37="USD",$AG37,IF($AH37=Data!$AD$3,$AG37/$R$12,"Error")))</f>
        <v/>
      </c>
      <c r="W37" s="171" t="str">
        <f>IF($AI37="","",IF($AJ37="USD",$AI37,IF($AJ37='[1]Info I'!$G$3,$AI37/$R$12,"Error")))</f>
        <v/>
      </c>
      <c r="X37" s="169" t="str">
        <f t="shared" si="9"/>
        <v/>
      </c>
      <c r="Y37" s="332" t="str">
        <f t="shared" si="0"/>
        <v/>
      </c>
      <c r="Z37" s="351" t="str">
        <f>IF($AE37="","",IF($H$139="USD",$AE37/(1+$AF37),IF($H$139='[1]Info I'!$G$3,$AE37/$R$11/(1+$AF37),"Error")))</f>
        <v/>
      </c>
      <c r="AA37" s="352" t="str">
        <f>IF($AG37="","",IF($AH37="USD",$AG37,IF($AH37=Data!$AD$3,$AG37/$R$11,"Error")))</f>
        <v/>
      </c>
      <c r="AB37" s="353" t="str">
        <f>IF($AI37="","",IF($AJ37="USD",$AI37,IF($AJ37='[1]Info I'!$G$3,$AI37/$R$11,"Error")))</f>
        <v/>
      </c>
      <c r="AC37" s="354" t="str">
        <f t="shared" si="7"/>
        <v/>
      </c>
      <c r="AD37" s="355" t="str">
        <f t="shared" si="1"/>
        <v/>
      </c>
      <c r="AE37" s="172" t="str">
        <f t="shared" si="8"/>
        <v/>
      </c>
      <c r="AF37" s="173" t="str">
        <f>IFERROR(IF(T37="","",VLOOKUP(T37,Data!V:Z,4,FALSE)),"Error")</f>
        <v/>
      </c>
      <c r="AG37" s="172" t="str">
        <f t="shared" si="2"/>
        <v/>
      </c>
      <c r="AH37" s="174" t="str">
        <f t="shared" si="3"/>
        <v/>
      </c>
      <c r="AI37" s="172" t="str">
        <f t="shared" si="4"/>
        <v/>
      </c>
      <c r="AJ37" s="174" t="str">
        <f t="shared" si="5"/>
        <v/>
      </c>
    </row>
    <row r="38" spans="1:36" ht="18.75">
      <c r="A38" s="456"/>
      <c r="B38" s="451">
        <f>Planner!$C$43</f>
        <v>0</v>
      </c>
      <c r="C38" s="452"/>
      <c r="D38" s="148" t="str">
        <f>_xlfn.XLOOKUP(Invoice!B38,Data!$P:$P,Data!$N:$N,"")</f>
        <v/>
      </c>
      <c r="E38" s="151">
        <v>1</v>
      </c>
      <c r="F38" s="155" t="str">
        <f>_xlfn.XLOOKUP($B38,Data!$P:$P,Data!$Q:$Q,"")</f>
        <v/>
      </c>
      <c r="G38" s="155" t="str">
        <f t="shared" si="10"/>
        <v/>
      </c>
      <c r="H38" s="148" t="s">
        <v>21</v>
      </c>
      <c r="I38" s="119" t="str">
        <f>_xlfn.XLOOKUP(B38,Data!P:P,Data!O:O,"")</f>
        <v/>
      </c>
      <c r="J38" s="312" t="str">
        <f>_xlfn.XLOOKUP(B38,Data!P:P,Data!R:R,"")</f>
        <v/>
      </c>
      <c r="K38" s="118" t="str">
        <f>_xlfn.XLOOKUP(B38,Data!P:P,Data!S:S,"")</f>
        <v/>
      </c>
      <c r="L38" s="157"/>
      <c r="M38" s="119"/>
      <c r="O38" s="312"/>
      <c r="P38" s="312"/>
      <c r="R38" s="157"/>
      <c r="T38" s="168" t="str">
        <f t="shared" si="6"/>
        <v/>
      </c>
      <c r="U38" s="169" t="str">
        <f>IF($AE38="","",IF($H$139="USD",$AE38/(1+$AF38),IF($H$139='[1]Info I'!$G$3,$AE38/$R$12/(1+$AF38),"Error")))</f>
        <v/>
      </c>
      <c r="V38" s="170" t="str">
        <f>IF($AG38="","",IF($AH38="USD",$AG38,IF($AH38=Data!$AD$3,$AG38/$R$12,"Error")))</f>
        <v/>
      </c>
      <c r="W38" s="171" t="str">
        <f>IF($AI38="","",IF($AJ38="USD",$AI38,IF($AJ38='[1]Info I'!$G$3,$AI38/$R$12,"Error")))</f>
        <v/>
      </c>
      <c r="X38" s="169" t="str">
        <f t="shared" si="9"/>
        <v/>
      </c>
      <c r="Y38" s="332" t="str">
        <f t="shared" si="0"/>
        <v/>
      </c>
      <c r="Z38" s="351" t="str">
        <f>IF($AE38="","",IF($H$139="USD",$AE38/(1+$AF38),IF($H$139='[1]Info I'!$G$3,$AE38/$R$11/(1+$AF38),"Error")))</f>
        <v/>
      </c>
      <c r="AA38" s="352" t="str">
        <f>IF($AG38="","",IF($AH38="USD",$AG38,IF($AH38=Data!$AD$3,$AG38/$R$11,"Error")))</f>
        <v/>
      </c>
      <c r="AB38" s="353" t="str">
        <f>IF($AI38="","",IF($AJ38="USD",$AI38,IF($AJ38='[1]Info I'!$G$3,$AI38/$R$11,"Error")))</f>
        <v/>
      </c>
      <c r="AC38" s="354" t="str">
        <f t="shared" si="7"/>
        <v/>
      </c>
      <c r="AD38" s="355" t="str">
        <f t="shared" si="1"/>
        <v/>
      </c>
      <c r="AE38" s="172" t="str">
        <f t="shared" si="8"/>
        <v/>
      </c>
      <c r="AF38" s="173" t="str">
        <f>IFERROR(IF(T38="","",VLOOKUP(T38,Data!V:Z,4,FALSE)),"Error")</f>
        <v/>
      </c>
      <c r="AG38" s="172" t="str">
        <f t="shared" si="2"/>
        <v/>
      </c>
      <c r="AH38" s="174" t="str">
        <f t="shared" si="3"/>
        <v/>
      </c>
      <c r="AI38" s="172" t="str">
        <f t="shared" si="4"/>
        <v/>
      </c>
      <c r="AJ38" s="174" t="str">
        <f t="shared" si="5"/>
        <v/>
      </c>
    </row>
    <row r="39" spans="1:36" ht="18.75">
      <c r="A39" s="119"/>
      <c r="B39" s="522" t="s">
        <v>594</v>
      </c>
      <c r="C39" s="523"/>
      <c r="D39" s="148"/>
      <c r="E39" s="151"/>
      <c r="F39" s="155"/>
      <c r="G39" s="155"/>
      <c r="H39" s="148"/>
      <c r="I39" s="119"/>
      <c r="J39" s="312"/>
      <c r="L39" s="157"/>
      <c r="M39" s="119"/>
      <c r="O39" s="312"/>
      <c r="P39" s="312"/>
      <c r="R39" s="157"/>
      <c r="T39" s="168" t="str">
        <f t="shared" si="6"/>
        <v/>
      </c>
      <c r="U39" s="169" t="str">
        <f>IF($AE39="","",IF($H$139="USD",$AE39/(1+$AF39),IF($H$139='[1]Info I'!$G$3,$AE39/$R$12/(1+$AF39),"Error")))</f>
        <v/>
      </c>
      <c r="V39" s="170" t="str">
        <f>IF($AG39="","",IF($AH39="USD",$AG39,IF($AH39=Data!$AD$3,$AG39/$R$12,"Error")))</f>
        <v/>
      </c>
      <c r="W39" s="171" t="str">
        <f>IF($AI39="","",IF($AJ39="USD",$AI39,IF($AJ39='[1]Info I'!$G$3,$AI39/$R$12,"Error")))</f>
        <v/>
      </c>
      <c r="X39" s="169" t="str">
        <f t="shared" si="9"/>
        <v/>
      </c>
      <c r="Y39" s="332" t="str">
        <f t="shared" si="0"/>
        <v/>
      </c>
      <c r="Z39" s="351" t="str">
        <f>IF($AE39="","",IF($H$139="USD",$AE39/(1+$AF39),IF($H$139='[1]Info I'!$G$3,$AE39/$R$11/(1+$AF39),"Error")))</f>
        <v/>
      </c>
      <c r="AA39" s="352" t="str">
        <f>IF($AG39="","",IF($AH39="USD",$AG39,IF($AH39=Data!$AD$3,$AG39/$R$11,"Error")))</f>
        <v/>
      </c>
      <c r="AB39" s="353" t="str">
        <f>IF($AI39="","",IF($AJ39="USD",$AI39,IF($AJ39='[1]Info I'!$G$3,$AI39/$R$11,"Error")))</f>
        <v/>
      </c>
      <c r="AC39" s="354" t="str">
        <f t="shared" si="7"/>
        <v/>
      </c>
      <c r="AD39" s="355" t="str">
        <f t="shared" si="1"/>
        <v/>
      </c>
      <c r="AE39" s="172" t="str">
        <f t="shared" si="8"/>
        <v/>
      </c>
      <c r="AF39" s="173" t="str">
        <f>IFERROR(IF(T39="","",VLOOKUP(T39,Data!V:Z,4,FALSE)),"Error")</f>
        <v/>
      </c>
      <c r="AG39" s="172" t="str">
        <f t="shared" si="2"/>
        <v/>
      </c>
      <c r="AH39" s="174" t="str">
        <f t="shared" si="3"/>
        <v/>
      </c>
      <c r="AI39" s="172" t="str">
        <f t="shared" si="4"/>
        <v/>
      </c>
      <c r="AJ39" s="174" t="str">
        <f t="shared" si="5"/>
        <v/>
      </c>
    </row>
    <row r="40" spans="1:36" ht="18.75">
      <c r="A40" s="138" t="s">
        <v>181</v>
      </c>
      <c r="B40" s="139"/>
      <c r="C40" s="140"/>
      <c r="D40" s="147"/>
      <c r="E40" s="147"/>
      <c r="F40" s="147"/>
      <c r="G40" s="147"/>
      <c r="H40" s="147"/>
      <c r="I40" s="158"/>
      <c r="J40" s="311"/>
      <c r="K40" s="314"/>
      <c r="L40" s="160"/>
      <c r="M40" s="158"/>
      <c r="N40" s="159"/>
      <c r="O40" s="311"/>
      <c r="P40" s="311"/>
      <c r="Q40" s="314"/>
      <c r="R40" s="160"/>
      <c r="T40" s="168" t="str">
        <f t="shared" si="6"/>
        <v/>
      </c>
      <c r="U40" s="169" t="str">
        <f>IF($AE40="","",IF($H$139="USD",$AE40/(1+$AF40),IF($H$139='[1]Info I'!$G$3,$AE40/$R$12/(1+$AF40),"Error")))</f>
        <v/>
      </c>
      <c r="V40" s="170" t="str">
        <f>IF($AG40="","",IF($AH40="USD",$AG40,IF($AH40=Data!$AD$3,$AG40/$R$12,"Error")))</f>
        <v/>
      </c>
      <c r="W40" s="171" t="str">
        <f>IF($AI40="","",IF($AJ40="USD",$AI40,IF($AJ40='[1]Info I'!$G$3,$AI40/$R$12,"Error")))</f>
        <v/>
      </c>
      <c r="X40" s="169" t="str">
        <f t="shared" si="9"/>
        <v/>
      </c>
      <c r="Y40" s="332" t="str">
        <f t="shared" si="0"/>
        <v/>
      </c>
      <c r="Z40" s="351" t="str">
        <f>IF($AE40="","",IF($H$139="USD",$AE40/(1+$AF40),IF($H$139='[1]Info I'!$G$3,$AE40/$R$11/(1+$AF40),"Error")))</f>
        <v/>
      </c>
      <c r="AA40" s="352" t="str">
        <f>IF($AG40="","",IF($AH40="USD",$AG40,IF($AH40=Data!$AD$3,$AG40/$R$11,"Error")))</f>
        <v/>
      </c>
      <c r="AB40" s="353" t="str">
        <f>IF($AI40="","",IF($AJ40="USD",$AI40,IF($AJ40='[1]Info I'!$G$3,$AI40/$R$11,"Error")))</f>
        <v/>
      </c>
      <c r="AC40" s="354" t="str">
        <f t="shared" si="7"/>
        <v/>
      </c>
      <c r="AD40" s="355" t="str">
        <f t="shared" si="1"/>
        <v/>
      </c>
      <c r="AE40" s="172" t="str">
        <f t="shared" si="8"/>
        <v/>
      </c>
      <c r="AF40" s="173" t="str">
        <f>IFERROR(IF(T40="","",VLOOKUP(T40,Data!V:Z,4,FALSE)),"Error")</f>
        <v/>
      </c>
      <c r="AG40" s="172" t="str">
        <f t="shared" si="2"/>
        <v/>
      </c>
      <c r="AH40" s="174" t="str">
        <f t="shared" si="3"/>
        <v/>
      </c>
      <c r="AI40" s="172" t="str">
        <f t="shared" si="4"/>
        <v/>
      </c>
      <c r="AJ40" s="174" t="str">
        <f t="shared" si="5"/>
        <v/>
      </c>
    </row>
    <row r="41" spans="1:36" ht="18.75">
      <c r="A41" s="144" t="s">
        <v>274</v>
      </c>
      <c r="B41" s="451" t="str">
        <f>IF(Planner!C46="","",Planner!$C$46&amp;" - "&amp;Planner!$F$46&amp;" - "&amp;Planner!$H$46)</f>
        <v/>
      </c>
      <c r="C41" s="452"/>
      <c r="D41" s="148" t="str">
        <f>IF(Planner!C46&lt;&gt;"Sky","",IF(COUNTIF(B:B,"*Sky Wedding Gazebo*"),"",_xlfn.XLOOKUP(Planner!C46,Data!P:P,Data!N:N)))</f>
        <v/>
      </c>
      <c r="E41" s="151">
        <v>1</v>
      </c>
      <c r="F41" s="155" t="str">
        <f>IF(D41="","",_xlfn.XLOOKUP(Planner!C46,Data!P:P,Data!Q:Q))</f>
        <v/>
      </c>
      <c r="G41" s="155" t="str">
        <f t="shared" ref="G41:G46" si="11">IFERROR(E41*F41,"")</f>
        <v/>
      </c>
      <c r="H41" s="148" t="s">
        <v>21</v>
      </c>
      <c r="I41" s="119"/>
      <c r="J41" s="312"/>
      <c r="L41" s="157"/>
      <c r="M41" s="163"/>
      <c r="O41" s="312"/>
      <c r="P41" s="312"/>
      <c r="R41" s="157"/>
      <c r="T41" s="168" t="str">
        <f t="shared" si="6"/>
        <v/>
      </c>
      <c r="U41" s="169" t="str">
        <f>IF($AE41="","",IF($H$139="USD",$AE41/(1+$AF41),IF($H$139='[1]Info I'!$G$3,$AE41/$R$12/(1+$AF41),"Error")))</f>
        <v/>
      </c>
      <c r="V41" s="170" t="str">
        <f>IF($AG41="","",IF($AH41="USD",$AG41,IF($AH41=Data!$AD$3,$AG41/$R$12,"Error")))</f>
        <v/>
      </c>
      <c r="W41" s="171" t="str">
        <f>IF($AI41="","",IF($AJ41="USD",$AI41,IF($AJ41='[1]Info I'!$G$3,$AI41/$R$12,"Error")))</f>
        <v/>
      </c>
      <c r="X41" s="169" t="str">
        <f t="shared" si="9"/>
        <v/>
      </c>
      <c r="Y41" s="332" t="str">
        <f t="shared" si="0"/>
        <v/>
      </c>
      <c r="Z41" s="351" t="str">
        <f>IF($AE41="","",IF($H$139="USD",$AE41/(1+$AF41),IF($H$139='[1]Info I'!$G$3,$AE41/$R$11/(1+$AF41),"Error")))</f>
        <v/>
      </c>
      <c r="AA41" s="352" t="str">
        <f>IF($AG41="","",IF($AH41="USD",$AG41,IF($AH41=Data!$AD$3,$AG41/$R$11,"Error")))</f>
        <v/>
      </c>
      <c r="AB41" s="353" t="str">
        <f>IF($AI41="","",IF($AJ41="USD",$AI41,IF($AJ41='[1]Info I'!$G$3,$AI41/$R$11,"Error")))</f>
        <v/>
      </c>
      <c r="AC41" s="354" t="str">
        <f t="shared" si="7"/>
        <v/>
      </c>
      <c r="AD41" s="355" t="str">
        <f t="shared" si="1"/>
        <v/>
      </c>
      <c r="AE41" s="172" t="str">
        <f t="shared" si="8"/>
        <v/>
      </c>
      <c r="AF41" s="173" t="str">
        <f>IFERROR(IF(T41="","",VLOOKUP(T41,Data!V:Z,4,FALSE)),"Error")</f>
        <v/>
      </c>
      <c r="AG41" s="172" t="str">
        <f t="shared" si="2"/>
        <v/>
      </c>
      <c r="AH41" s="174" t="str">
        <f t="shared" si="3"/>
        <v/>
      </c>
      <c r="AI41" s="172" t="str">
        <f t="shared" si="4"/>
        <v/>
      </c>
      <c r="AJ41" s="174" t="str">
        <f t="shared" si="5"/>
        <v/>
      </c>
    </row>
    <row r="42" spans="1:36" ht="18.75">
      <c r="A42" s="456" t="s">
        <v>598</v>
      </c>
      <c r="B42" s="451" t="str">
        <f>IF(Planner!C47="","","Appetizers - "&amp;Planner!$C$47)</f>
        <v/>
      </c>
      <c r="C42" s="452"/>
      <c r="D42" s="148" t="str">
        <f>IF(B42="","",_xlfn.XLOOKUP(Planner!$C$47,Data!$P:$P,Data!$N:$N,""))</f>
        <v/>
      </c>
      <c r="E42" s="151">
        <f>Planner!C48</f>
        <v>0</v>
      </c>
      <c r="F42" s="155">
        <f>_xlfn.XLOOKUP(Planner!$C$47,Data!$P:$P,Data!$Q:$Q,"")</f>
        <v>0</v>
      </c>
      <c r="G42" s="155">
        <f t="shared" si="11"/>
        <v>0</v>
      </c>
      <c r="H42" s="148" t="s">
        <v>21</v>
      </c>
      <c r="I42" s="119"/>
      <c r="J42" s="312"/>
      <c r="L42" s="157"/>
      <c r="M42" s="247" t="str">
        <f>IF(R42="","",_xlfn.XLOOKUP(R42,Data!P:P,Data!M:M))</f>
        <v/>
      </c>
      <c r="N42" s="228">
        <f>IF(E42="","",E42)</f>
        <v>0</v>
      </c>
      <c r="O42" s="228" t="str">
        <f>IF(R42="","",_xlfn.XLOOKUP(R42,Data!P:P,Data!R:R))</f>
        <v/>
      </c>
      <c r="P42" s="243" t="str">
        <f>+IF(R42="","",N42*O42)</f>
        <v/>
      </c>
      <c r="Q42" s="320" t="str">
        <f>IF(R42="","",_xlfn.XLOOKUP(R42,Data!P:P,Data!S:S))</f>
        <v/>
      </c>
      <c r="R42" s="248" t="str">
        <f>IF(D42="","",RIGHT($B42,SEARCH("-",$B42)+2))</f>
        <v/>
      </c>
      <c r="T42" s="168" t="str">
        <f t="shared" si="6"/>
        <v/>
      </c>
      <c r="U42" s="169" t="str">
        <f>IF($AE42="","",IF($H$139="USD",$AE42/(1+$AF42),IF($H$139='[1]Info I'!$G$3,$AE42/$R$12/(1+$AF42),"Error")))</f>
        <v/>
      </c>
      <c r="V42" s="170" t="str">
        <f>IF($AG42="","",IF($AH42="USD",$AG42,IF($AH42=Data!$AD$3,$AG42/$R$12,"Error")))</f>
        <v/>
      </c>
      <c r="W42" s="171" t="str">
        <f>IF($AI42="","",IF($AJ42="USD",$AI42,IF($AJ42='[1]Info I'!$G$3,$AI42/$R$12,"Error")))</f>
        <v/>
      </c>
      <c r="X42" s="169" t="str">
        <f t="shared" si="9"/>
        <v/>
      </c>
      <c r="Y42" s="332" t="str">
        <f t="shared" si="0"/>
        <v/>
      </c>
      <c r="Z42" s="351" t="str">
        <f>IF($AE42="","",IF($H$139="USD",$AE42/(1+$AF42),IF($H$139='[1]Info I'!$G$3,$AE42/$R$11/(1+$AF42),"Error")))</f>
        <v/>
      </c>
      <c r="AA42" s="352" t="str">
        <f>IF($AG42="","",IF($AH42="USD",$AG42,IF($AH42=Data!$AD$3,$AG42/$R$11,"Error")))</f>
        <v/>
      </c>
      <c r="AB42" s="353" t="str">
        <f>IF($AI42="","",IF($AJ42="USD",$AI42,IF($AJ42='[1]Info I'!$G$3,$AI42/$R$11,"Error")))</f>
        <v/>
      </c>
      <c r="AC42" s="354" t="str">
        <f t="shared" si="7"/>
        <v/>
      </c>
      <c r="AD42" s="355" t="str">
        <f t="shared" si="1"/>
        <v/>
      </c>
      <c r="AE42" s="172" t="str">
        <f t="shared" si="8"/>
        <v/>
      </c>
      <c r="AF42" s="173" t="str">
        <f>IFERROR(IF(T42="","",VLOOKUP(T42,Data!V:Z,4,FALSE)),"Error")</f>
        <v/>
      </c>
      <c r="AG42" s="172" t="str">
        <f t="shared" si="2"/>
        <v/>
      </c>
      <c r="AH42" s="174" t="str">
        <f t="shared" si="3"/>
        <v/>
      </c>
      <c r="AI42" s="172" t="str">
        <f t="shared" si="4"/>
        <v/>
      </c>
      <c r="AJ42" s="174" t="str">
        <f t="shared" si="5"/>
        <v/>
      </c>
    </row>
    <row r="43" spans="1:36" ht="18.75">
      <c r="A43" s="456"/>
      <c r="B43" s="451" t="str">
        <f>IF(Planner!C49="Yes","Open Bar","")</f>
        <v/>
      </c>
      <c r="C43" s="452"/>
      <c r="D43" s="148" t="str">
        <f>_xlfn.XLOOKUP($B43,Data!$P:$P,Data!$N:$N,"")</f>
        <v/>
      </c>
      <c r="E43" s="151">
        <f>Planner!C23</f>
        <v>0</v>
      </c>
      <c r="F43" s="155" t="str">
        <f>IFERROR(_xlfn.XLOOKUP($B43,Data!$P:$P,Data!$Q:$Q,"")*(MOD(Planner!H46-Planner!F46, 1)*24),"")</f>
        <v/>
      </c>
      <c r="G43" s="155" t="str">
        <f t="shared" si="11"/>
        <v/>
      </c>
      <c r="H43" s="148" t="s">
        <v>21</v>
      </c>
      <c r="I43" s="119"/>
      <c r="J43" s="312"/>
      <c r="L43" s="157"/>
      <c r="M43" s="247" t="str">
        <f>IF(R43="","",_xlfn.XLOOKUP(R43,Data!P:P,Data!M:M))</f>
        <v/>
      </c>
      <c r="N43" s="228">
        <f>IF(E43="","",E43)</f>
        <v>0</v>
      </c>
      <c r="O43" s="228" t="str">
        <f>IF(R43="","",_xlfn.XLOOKUP(R43,Data!P:P,Data!R:R))</f>
        <v/>
      </c>
      <c r="P43" s="243" t="str">
        <f>+IF(R43="","",N43*O43)</f>
        <v/>
      </c>
      <c r="Q43" s="320" t="str">
        <f>IF(R43="","",_xlfn.XLOOKUP(R43,Data!P:P,Data!S:S))</f>
        <v/>
      </c>
      <c r="R43" s="248" t="str">
        <f>IF(D43="","",B43)</f>
        <v/>
      </c>
      <c r="T43" s="168" t="str">
        <f t="shared" si="6"/>
        <v/>
      </c>
      <c r="U43" s="169" t="str">
        <f>IF($AE43="","",IF($H$139="USD",$AE43/(1+$AF43),IF($H$139='[1]Info I'!$G$3,$AE43/$R$12/(1+$AF43),"Error")))</f>
        <v/>
      </c>
      <c r="V43" s="170" t="str">
        <f>IF($AG43="","",IF($AH43="USD",$AG43,IF($AH43=Data!$AD$3,$AG43/$R$12,"Error")))</f>
        <v/>
      </c>
      <c r="W43" s="171" t="str">
        <f>IF($AI43="","",IF($AJ43="USD",$AI43,IF($AJ43='[1]Info I'!$G$3,$AI43/$R$12,"Error")))</f>
        <v/>
      </c>
      <c r="X43" s="169" t="str">
        <f t="shared" si="9"/>
        <v/>
      </c>
      <c r="Y43" s="332" t="str">
        <f t="shared" si="0"/>
        <v/>
      </c>
      <c r="Z43" s="351" t="str">
        <f>IF($AE43="","",IF($H$139="USD",$AE43/(1+$AF43),IF($H$139='[1]Info I'!$G$3,$AE43/$R$11/(1+$AF43),"Error")))</f>
        <v/>
      </c>
      <c r="AA43" s="352" t="str">
        <f>IF($AG43="","",IF($AH43="USD",$AG43,IF($AH43=Data!$AD$3,$AG43/$R$11,"Error")))</f>
        <v/>
      </c>
      <c r="AB43" s="353" t="str">
        <f>IF($AI43="","",IF($AJ43="USD",$AI43,IF($AJ43='[1]Info I'!$G$3,$AI43/$R$11,"Error")))</f>
        <v/>
      </c>
      <c r="AC43" s="354" t="str">
        <f t="shared" si="7"/>
        <v/>
      </c>
      <c r="AD43" s="355" t="str">
        <f t="shared" si="1"/>
        <v/>
      </c>
      <c r="AE43" s="172" t="str">
        <f t="shared" si="8"/>
        <v/>
      </c>
      <c r="AF43" s="173" t="str">
        <f>IFERROR(IF(T43="","",VLOOKUP(T43,Data!V:Z,4,FALSE)),"Error")</f>
        <v/>
      </c>
      <c r="AG43" s="172" t="str">
        <f t="shared" si="2"/>
        <v/>
      </c>
      <c r="AH43" s="174" t="str">
        <f t="shared" si="3"/>
        <v/>
      </c>
      <c r="AI43" s="172" t="str">
        <f t="shared" si="4"/>
        <v/>
      </c>
      <c r="AJ43" s="174" t="str">
        <f t="shared" si="5"/>
        <v/>
      </c>
    </row>
    <row r="44" spans="1:36" ht="18.75">
      <c r="A44" s="145" t="s">
        <v>424</v>
      </c>
      <c r="B44" s="451">
        <f>IF(Planner!$C$50 = "Sound System only", "",Planner!$C$50)</f>
        <v>0</v>
      </c>
      <c r="C44" s="452"/>
      <c r="D44" s="148" t="str">
        <f>_xlfn.XLOOKUP(Invoice!B44,Data!$P:$P,Data!$N:$N,"")</f>
        <v/>
      </c>
      <c r="E44" s="151">
        <v>1</v>
      </c>
      <c r="F44" s="155" t="str">
        <f>_xlfn.XLOOKUP($B44,Data!$P:$P,Data!$Q:$Q,"")</f>
        <v/>
      </c>
      <c r="G44" s="155" t="str">
        <f t="shared" si="11"/>
        <v/>
      </c>
      <c r="H44" s="148" t="s">
        <v>21</v>
      </c>
      <c r="I44" s="119" t="str">
        <f>_xlfn.XLOOKUP(B44,Data!P:P,Data!O:O,"")</f>
        <v/>
      </c>
      <c r="J44" s="312" t="str">
        <f>_xlfn.XLOOKUP(B44,Data!P:P,Data!R:R,"")</f>
        <v/>
      </c>
      <c r="K44" s="118" t="str">
        <f>_xlfn.XLOOKUP(B44,Data!P:P,Data!S:S,"")</f>
        <v/>
      </c>
      <c r="L44" s="157"/>
      <c r="M44" s="119"/>
      <c r="O44" s="312"/>
      <c r="P44" s="312"/>
      <c r="R44" s="157"/>
      <c r="T44" s="168" t="str">
        <f t="shared" si="6"/>
        <v/>
      </c>
      <c r="U44" s="169" t="str">
        <f>IF($AE44="","",IF($H$139="USD",$AE44/(1+$AF44),IF($H$139='[1]Info I'!$G$3,$AE44/$R$12/(1+$AF44),"Error")))</f>
        <v/>
      </c>
      <c r="V44" s="170" t="str">
        <f>IF($AG44="","",IF($AH44="USD",$AG44,IF($AH44=Data!$AD$3,$AG44/$R$12,"Error")))</f>
        <v/>
      </c>
      <c r="W44" s="171" t="str">
        <f>IF($AI44="","",IF($AJ44="USD",$AI44,IF($AJ44='[1]Info I'!$G$3,$AI44/$R$12,"Error")))</f>
        <v/>
      </c>
      <c r="X44" s="169" t="str">
        <f t="shared" si="9"/>
        <v/>
      </c>
      <c r="Y44" s="332" t="str">
        <f t="shared" si="0"/>
        <v/>
      </c>
      <c r="Z44" s="351" t="str">
        <f>IF($AE44="","",IF($H$139="USD",$AE44/(1+$AF44),IF($H$139='[1]Info I'!$G$3,$AE44/$R$11/(1+$AF44),"Error")))</f>
        <v/>
      </c>
      <c r="AA44" s="352" t="str">
        <f>IF($AG44="","",IF($AH44="USD",$AG44,IF($AH44=Data!$AD$3,$AG44/$R$11,"Error")))</f>
        <v/>
      </c>
      <c r="AB44" s="353" t="str">
        <f>IF($AI44="","",IF($AJ44="USD",$AI44,IF($AJ44='[1]Info I'!$G$3,$AI44/$R$11,"Error")))</f>
        <v/>
      </c>
      <c r="AC44" s="354" t="str">
        <f t="shared" si="7"/>
        <v/>
      </c>
      <c r="AD44" s="355" t="str">
        <f t="shared" si="1"/>
        <v/>
      </c>
      <c r="AE44" s="172" t="str">
        <f t="shared" si="8"/>
        <v/>
      </c>
      <c r="AF44" s="173" t="str">
        <f>IFERROR(IF(T44="","",VLOOKUP(T44,Data!V:Z,4,FALSE)),"Error")</f>
        <v/>
      </c>
      <c r="AG44" s="172" t="str">
        <f t="shared" si="2"/>
        <v/>
      </c>
      <c r="AH44" s="174" t="str">
        <f t="shared" si="3"/>
        <v/>
      </c>
      <c r="AI44" s="172" t="str">
        <f t="shared" si="4"/>
        <v/>
      </c>
      <c r="AJ44" s="174" t="str">
        <f t="shared" si="5"/>
        <v/>
      </c>
    </row>
    <row r="45" spans="1:36" ht="18.75">
      <c r="A45" s="456" t="s">
        <v>247</v>
      </c>
      <c r="B45" s="451" t="str">
        <f>IF(Planner!$C$55="","","Decor pckg - "&amp;Planner!$C$55)</f>
        <v/>
      </c>
      <c r="C45" s="452"/>
      <c r="D45" s="148" t="str">
        <f>IF(B45="","",_xlfn.XLOOKUP(Planner!$C$55,Data!$P:$P,Data!$N:$N,""))</f>
        <v/>
      </c>
      <c r="E45" s="151">
        <v>1</v>
      </c>
      <c r="F45" s="155">
        <f>_xlfn.XLOOKUP(Planner!$C$55,Data!$P:$P,Data!$Q:$Q,"")</f>
        <v>0</v>
      </c>
      <c r="G45" s="155">
        <f t="shared" si="11"/>
        <v>0</v>
      </c>
      <c r="H45" s="148" t="s">
        <v>21</v>
      </c>
      <c r="I45" s="119">
        <f>_xlfn.XLOOKUP(Planner!C55,Data!P:P,Data!O:O,"")</f>
        <v>0</v>
      </c>
      <c r="J45" s="312">
        <f>_xlfn.XLOOKUP(Planner!C55,Data!P:P,Data!R:R,"")</f>
        <v>0</v>
      </c>
      <c r="K45" s="118" t="str">
        <f>_xlfn.XLOOKUP(Planner!C55,Data!P:P,Data!S:S,"")</f>
        <v>MXN</v>
      </c>
      <c r="L45" s="157"/>
      <c r="M45" s="119"/>
      <c r="O45" s="312"/>
      <c r="P45" s="312"/>
      <c r="R45" s="157"/>
      <c r="T45" s="168" t="str">
        <f t="shared" si="6"/>
        <v/>
      </c>
      <c r="U45" s="169" t="str">
        <f>IF($AE45="","",IF($H$139="USD",$AE45/(1+$AF45),IF($H$139='[1]Info I'!$G$3,$AE45/$R$12/(1+$AF45),"Error")))</f>
        <v/>
      </c>
      <c r="V45" s="170">
        <f>IF($AG45="","",IF($AH45="USD",$AG45,IF($AH45=Data!$AD$3,$AG45/$R$12,"Error")))</f>
        <v>0</v>
      </c>
      <c r="W45" s="171" t="str">
        <f>IF($AI45="","",IF($AJ45="USD",$AI45,IF($AJ45='[1]Info I'!$G$3,$AI45/$R$12,"Error")))</f>
        <v/>
      </c>
      <c r="X45" s="169" t="str">
        <f t="shared" si="9"/>
        <v/>
      </c>
      <c r="Y45" s="332" t="str">
        <f t="shared" si="0"/>
        <v/>
      </c>
      <c r="Z45" s="351" t="str">
        <f>IF($AE45="","",IF($H$139="USD",$AE45/(1+$AF45),IF($H$139='[1]Info I'!$G$3,$AE45/$R$11/(1+$AF45),"Error")))</f>
        <v/>
      </c>
      <c r="AA45" s="352">
        <f>IF($AG45="","",IF($AH45="USD",$AG45,IF($AH45=Data!$AD$3,$AG45/$R$11,"Error")))</f>
        <v>0</v>
      </c>
      <c r="AB45" s="353" t="str">
        <f>IF($AI45="","",IF($AJ45="USD",$AI45,IF($AJ45='[1]Info I'!$G$3,$AI45/$R$11,"Error")))</f>
        <v/>
      </c>
      <c r="AC45" s="354" t="str">
        <f t="shared" si="7"/>
        <v/>
      </c>
      <c r="AD45" s="355" t="str">
        <f t="shared" si="1"/>
        <v/>
      </c>
      <c r="AE45" s="172" t="str">
        <f t="shared" si="8"/>
        <v/>
      </c>
      <c r="AF45" s="173" t="str">
        <f>IFERROR(IF(T45="","",VLOOKUP(T45,Data!V:Z,4,FALSE)),"Error")</f>
        <v/>
      </c>
      <c r="AG45" s="172">
        <f t="shared" si="2"/>
        <v>0</v>
      </c>
      <c r="AH45" s="174" t="str">
        <f t="shared" si="3"/>
        <v>MXN</v>
      </c>
      <c r="AI45" s="172" t="str">
        <f t="shared" si="4"/>
        <v/>
      </c>
      <c r="AJ45" s="174" t="str">
        <f t="shared" si="5"/>
        <v/>
      </c>
    </row>
    <row r="46" spans="1:36" ht="18.75">
      <c r="A46" s="456"/>
      <c r="B46" s="451" t="str">
        <f>IF(Planner!$C$55="","","Decor pckg - "&amp;Planner!$C$56)</f>
        <v/>
      </c>
      <c r="C46" s="452"/>
      <c r="D46" s="148" t="str">
        <f>_xlfn.XLOOKUP(Planner!$C$56,Data!$P:$P,Data!$N:$N,"")</f>
        <v/>
      </c>
      <c r="E46" s="151">
        <v>1</v>
      </c>
      <c r="F46" s="155" t="str">
        <f>_xlfn.XLOOKUP(Planner!$C$56,Data!$P:$P,Data!$Q:$Q,"")</f>
        <v/>
      </c>
      <c r="G46" s="155" t="str">
        <f t="shared" si="11"/>
        <v/>
      </c>
      <c r="H46" s="148" t="s">
        <v>21</v>
      </c>
      <c r="I46" s="119" t="str">
        <f>_xlfn.XLOOKUP(Planner!C56,Data!P:P,Data!O:O,"")</f>
        <v/>
      </c>
      <c r="J46" s="312" t="str">
        <f>_xlfn.XLOOKUP(Planner!C56,Data!P:P,Data!R:R,"")</f>
        <v/>
      </c>
      <c r="K46" s="118" t="str">
        <f>_xlfn.XLOOKUP(Planner!C56,Data!P:P,Data!S:S,"")</f>
        <v/>
      </c>
      <c r="L46" s="157"/>
      <c r="M46" s="119"/>
      <c r="O46" s="312"/>
      <c r="P46" s="312"/>
      <c r="R46" s="157"/>
      <c r="T46" s="168" t="str">
        <f t="shared" si="6"/>
        <v/>
      </c>
      <c r="U46" s="169" t="str">
        <f>IF($AE46="","",IF($H$139="USD",$AE46/(1+$AF46),IF($H$139='[1]Info I'!$G$3,$AE46/$R$12/(1+$AF46),"Error")))</f>
        <v/>
      </c>
      <c r="V46" s="170" t="str">
        <f>IF($AG46="","",IF($AH46="USD",$AG46,IF($AH46=Data!$AD$3,$AG46/$R$12,"Error")))</f>
        <v/>
      </c>
      <c r="W46" s="171" t="str">
        <f>IF($AI46="","",IF($AJ46="USD",$AI46,IF($AJ46='[1]Info I'!$G$3,$AI46/$R$12,"Error")))</f>
        <v/>
      </c>
      <c r="X46" s="169" t="str">
        <f t="shared" si="9"/>
        <v/>
      </c>
      <c r="Y46" s="332" t="str">
        <f t="shared" si="0"/>
        <v/>
      </c>
      <c r="Z46" s="351" t="str">
        <f>IF($AE46="","",IF($H$139="USD",$AE46/(1+$AF46),IF($H$139='[1]Info I'!$G$3,$AE46/$R$11/(1+$AF46),"Error")))</f>
        <v/>
      </c>
      <c r="AA46" s="352" t="str">
        <f>IF($AG46="","",IF($AH46="USD",$AG46,IF($AH46=Data!$AD$3,$AG46/$R$11,"Error")))</f>
        <v/>
      </c>
      <c r="AB46" s="353" t="str">
        <f>IF($AI46="","",IF($AJ46="USD",$AI46,IF($AJ46='[1]Info I'!$G$3,$AI46/$R$11,"Error")))</f>
        <v/>
      </c>
      <c r="AC46" s="354" t="str">
        <f t="shared" si="7"/>
        <v/>
      </c>
      <c r="AD46" s="355" t="str">
        <f t="shared" si="1"/>
        <v/>
      </c>
      <c r="AE46" s="172" t="str">
        <f t="shared" si="8"/>
        <v/>
      </c>
      <c r="AF46" s="173" t="str">
        <f>IFERROR(IF(T46="","",VLOOKUP(T46,Data!V:Z,4,FALSE)),"Error")</f>
        <v/>
      </c>
      <c r="AG46" s="172" t="str">
        <f t="shared" si="2"/>
        <v/>
      </c>
      <c r="AH46" s="174" t="str">
        <f t="shared" si="3"/>
        <v/>
      </c>
      <c r="AI46" s="172" t="str">
        <f t="shared" si="4"/>
        <v/>
      </c>
      <c r="AJ46" s="174" t="str">
        <f t="shared" si="5"/>
        <v/>
      </c>
    </row>
    <row r="47" spans="1:36" ht="18.75">
      <c r="A47" s="119"/>
      <c r="B47" s="522" t="s">
        <v>594</v>
      </c>
      <c r="C47" s="523"/>
      <c r="D47" s="148"/>
      <c r="E47" s="151"/>
      <c r="F47" s="155"/>
      <c r="G47" s="155"/>
      <c r="H47" s="148"/>
      <c r="I47" s="119"/>
      <c r="J47" s="312"/>
      <c r="L47" s="157"/>
      <c r="M47" s="119"/>
      <c r="O47" s="312"/>
      <c r="P47" s="312"/>
      <c r="R47" s="157"/>
      <c r="T47" s="168" t="str">
        <f t="shared" si="6"/>
        <v/>
      </c>
      <c r="U47" s="169" t="str">
        <f>IF($AE47="","",IF($H$139="USD",$AE47/(1+$AF47),IF($H$139='[1]Info I'!$G$3,$AE47/$R$12/(1+$AF47),"Error")))</f>
        <v/>
      </c>
      <c r="V47" s="170" t="str">
        <f>IF($AG47="","",IF($AH47="USD",$AG47,IF($AH47=Data!$AD$3,$AG47/$R$12,"Error")))</f>
        <v/>
      </c>
      <c r="W47" s="171" t="str">
        <f>IF($AI47="","",IF($AJ47="USD",$AI47,IF($AJ47='[1]Info I'!$G$3,$AI47/$R$12,"Error")))</f>
        <v/>
      </c>
      <c r="X47" s="169" t="str">
        <f t="shared" si="9"/>
        <v/>
      </c>
      <c r="Y47" s="332" t="str">
        <f t="shared" si="0"/>
        <v/>
      </c>
      <c r="Z47" s="351" t="str">
        <f>IF($AE47="","",IF($H$139="USD",$AE47/(1+$AF47),IF($H$139='[1]Info I'!$G$3,$AE47/$R$11/(1+$AF47),"Error")))</f>
        <v/>
      </c>
      <c r="AA47" s="352" t="str">
        <f>IF($AG47="","",IF($AH47="USD",$AG47,IF($AH47=Data!$AD$3,$AG47/$R$11,"Error")))</f>
        <v/>
      </c>
      <c r="AB47" s="353" t="str">
        <f>IF($AI47="","",IF($AJ47="USD",$AI47,IF($AJ47='[1]Info I'!$G$3,$AI47/$R$11,"Error")))</f>
        <v/>
      </c>
      <c r="AC47" s="354" t="str">
        <f t="shared" si="7"/>
        <v/>
      </c>
      <c r="AD47" s="355" t="str">
        <f t="shared" si="1"/>
        <v/>
      </c>
      <c r="AE47" s="172" t="str">
        <f t="shared" si="8"/>
        <v/>
      </c>
      <c r="AF47" s="173" t="str">
        <f>IFERROR(IF(T47="","",VLOOKUP(T47,Data!V:Z,4,FALSE)),"Error")</f>
        <v/>
      </c>
      <c r="AG47" s="172" t="str">
        <f t="shared" si="2"/>
        <v/>
      </c>
      <c r="AH47" s="174" t="str">
        <f t="shared" si="3"/>
        <v/>
      </c>
      <c r="AI47" s="172" t="str">
        <f t="shared" si="4"/>
        <v/>
      </c>
      <c r="AJ47" s="174" t="str">
        <f t="shared" si="5"/>
        <v/>
      </c>
    </row>
    <row r="48" spans="1:36" ht="18.75">
      <c r="A48" s="138" t="s">
        <v>426</v>
      </c>
      <c r="B48" s="139"/>
      <c r="C48" s="140"/>
      <c r="D48" s="147"/>
      <c r="E48" s="147"/>
      <c r="F48" s="147"/>
      <c r="G48" s="147"/>
      <c r="H48" s="147"/>
      <c r="I48" s="158"/>
      <c r="J48" s="311"/>
      <c r="K48" s="314"/>
      <c r="L48" s="160"/>
      <c r="M48" s="158"/>
      <c r="N48" s="159"/>
      <c r="O48" s="311"/>
      <c r="P48" s="311"/>
      <c r="Q48" s="314"/>
      <c r="R48" s="160"/>
      <c r="T48" s="168" t="str">
        <f t="shared" si="6"/>
        <v/>
      </c>
      <c r="U48" s="169" t="str">
        <f>IF($AE48="","",IF($H$139="USD",$AE48/(1+$AF48),IF($H$139='[1]Info I'!$G$3,$AE48/$R$12/(1+$AF48),"Error")))</f>
        <v/>
      </c>
      <c r="V48" s="170" t="str">
        <f>IF($AG48="","",IF($AH48="USD",$AG48,IF($AH48=Data!$AD$3,$AG48/$R$12,"Error")))</f>
        <v/>
      </c>
      <c r="W48" s="171" t="str">
        <f>IF($AI48="","",IF($AJ48="USD",$AI48,IF($AJ48='[1]Info I'!$G$3,$AI48/$R$12,"Error")))</f>
        <v/>
      </c>
      <c r="X48" s="169" t="str">
        <f t="shared" si="9"/>
        <v/>
      </c>
      <c r="Y48" s="332" t="str">
        <f t="shared" si="0"/>
        <v/>
      </c>
      <c r="Z48" s="351" t="str">
        <f>IF($AE48="","",IF($H$139="USD",$AE48/(1+$AF48),IF($H$139='[1]Info I'!$G$3,$AE48/$R$11/(1+$AF48),"Error")))</f>
        <v/>
      </c>
      <c r="AA48" s="352" t="str">
        <f>IF($AG48="","",IF($AH48="USD",$AG48,IF($AH48=Data!$AD$3,$AG48/$R$11,"Error")))</f>
        <v/>
      </c>
      <c r="AB48" s="353" t="str">
        <f>IF($AI48="","",IF($AJ48="USD",$AI48,IF($AJ48='[1]Info I'!$G$3,$AI48/$R$11,"Error")))</f>
        <v/>
      </c>
      <c r="AC48" s="354" t="str">
        <f t="shared" si="7"/>
        <v/>
      </c>
      <c r="AD48" s="355" t="str">
        <f t="shared" si="1"/>
        <v/>
      </c>
      <c r="AE48" s="172" t="str">
        <f t="shared" si="8"/>
        <v/>
      </c>
      <c r="AF48" s="173" t="str">
        <f>IFERROR(IF(T48="","",VLOOKUP(T48,Data!V:Z,4,FALSE)),"Error")</f>
        <v/>
      </c>
      <c r="AG48" s="172" t="str">
        <f t="shared" si="2"/>
        <v/>
      </c>
      <c r="AH48" s="174" t="str">
        <f t="shared" si="3"/>
        <v/>
      </c>
      <c r="AI48" s="172" t="str">
        <f t="shared" si="4"/>
        <v/>
      </c>
      <c r="AJ48" s="174" t="str">
        <f t="shared" si="5"/>
        <v/>
      </c>
    </row>
    <row r="49" spans="1:36" ht="18.75">
      <c r="A49" s="146" t="s">
        <v>274</v>
      </c>
      <c r="B49" s="451" t="str">
        <f>IF(Planner!C67="","",Planner!$C$67&amp;" - "&amp;Planner!$G$67&amp;" - "&amp;Planner!$I$67)</f>
        <v/>
      </c>
      <c r="C49" s="452"/>
      <c r="D49" s="148" t="str" cm="1">
        <f t="array" ref="D49">IF(Planner!C67&lt;&gt;"Sky Terrace","",IF(SUM(COUNTIF(Planner!C:C,{"*Sky Wedding Gazebo*","Sky"})),"",_xlfn.XLOOKUP(Planner!C67,Data!P:P,Data!N:N)))</f>
        <v/>
      </c>
      <c r="E49" s="151">
        <v>1</v>
      </c>
      <c r="F49" s="155" t="str">
        <f>IF(D49="","",_xlfn.XLOOKUP(Planner!C67,Data!P:P,Data!Q:Q))</f>
        <v/>
      </c>
      <c r="G49" s="155" t="str">
        <f t="shared" ref="G49:G54" si="12">IFERROR(E49*F49,"")</f>
        <v/>
      </c>
      <c r="H49" s="148" t="s">
        <v>21</v>
      </c>
      <c r="I49" s="119"/>
      <c r="J49" s="312"/>
      <c r="L49" s="157"/>
      <c r="M49" s="119"/>
      <c r="O49" s="312"/>
      <c r="P49" s="312"/>
      <c r="R49" s="157"/>
      <c r="T49" s="168" t="str">
        <f t="shared" si="6"/>
        <v/>
      </c>
      <c r="U49" s="169" t="str">
        <f>IF($AE49="","",IF($H$139="USD",$AE49/(1+$AF49),IF($H$139='[1]Info I'!$G$3,$AE49/$R$12/(1+$AF49),"Error")))</f>
        <v/>
      </c>
      <c r="V49" s="170" t="str">
        <f>IF($AG49="","",IF($AH49="USD",$AG49,IF($AH49=Data!$AD$3,$AG49/$R$12,"Error")))</f>
        <v/>
      </c>
      <c r="W49" s="171" t="str">
        <f>IF($AI49="","",IF($AJ49="USD",$AI49,IF($AJ49='[1]Info I'!$G$3,$AI49/$R$12,"Error")))</f>
        <v/>
      </c>
      <c r="X49" s="169" t="str">
        <f t="shared" si="9"/>
        <v/>
      </c>
      <c r="Y49" s="332" t="str">
        <f t="shared" si="0"/>
        <v/>
      </c>
      <c r="Z49" s="351" t="str">
        <f>IF($AE49="","",IF($H$139="USD",$AE49/(1+$AF49),IF($H$139='[1]Info I'!$G$3,$AE49/$R$11/(1+$AF49),"Error")))</f>
        <v/>
      </c>
      <c r="AA49" s="352" t="str">
        <f>IF($AG49="","",IF($AH49="USD",$AG49,IF($AH49=Data!$AD$3,$AG49/$R$11,"Error")))</f>
        <v/>
      </c>
      <c r="AB49" s="353" t="str">
        <f>IF($AI49="","",IF($AJ49="USD",$AI49,IF($AJ49='[1]Info I'!$G$3,$AI49/$R$11,"Error")))</f>
        <v/>
      </c>
      <c r="AC49" s="354" t="str">
        <f t="shared" si="7"/>
        <v/>
      </c>
      <c r="AD49" s="355" t="str">
        <f t="shared" si="1"/>
        <v/>
      </c>
      <c r="AE49" s="172" t="str">
        <f t="shared" si="8"/>
        <v/>
      </c>
      <c r="AF49" s="173" t="str">
        <f>IFERROR(IF(T49="","",VLOOKUP(T49,Data!V:Z,4,FALSE)),"Error")</f>
        <v/>
      </c>
      <c r="AG49" s="172" t="str">
        <f t="shared" si="2"/>
        <v/>
      </c>
      <c r="AH49" s="174" t="str">
        <f t="shared" si="3"/>
        <v/>
      </c>
      <c r="AI49" s="172" t="str">
        <f t="shared" si="4"/>
        <v/>
      </c>
      <c r="AJ49" s="174" t="str">
        <f t="shared" si="5"/>
        <v/>
      </c>
    </row>
    <row r="50" spans="1:36" ht="18.75">
      <c r="A50" s="525" t="s">
        <v>598</v>
      </c>
      <c r="B50" s="451" t="str">
        <f>IF(Planner!C69="","",LEFT(Planner!$C$69,SEARCH(" (",Planner!$C$69)-1))</f>
        <v/>
      </c>
      <c r="C50" s="452"/>
      <c r="D50" s="148" t="str">
        <f>_xlfn.XLOOKUP(Planner!C69,Data!$P:$P,Data!$N:$N,"")</f>
        <v/>
      </c>
      <c r="E50" s="151">
        <f>Planner!C68</f>
        <v>0</v>
      </c>
      <c r="F50" s="155">
        <f>_xlfn.XLOOKUP(Planner!C69,Data!$P:$P,Data!$Q:$Q,"")</f>
        <v>0</v>
      </c>
      <c r="G50" s="155">
        <f t="shared" si="12"/>
        <v>0</v>
      </c>
      <c r="H50" s="148" t="s">
        <v>21</v>
      </c>
      <c r="I50" s="119"/>
      <c r="J50" s="312"/>
      <c r="L50" s="157"/>
      <c r="M50" s="247" t="str">
        <f>IF(R50="","",_xlfn.XLOOKUP(R50&amp;" (3 hrs of Open Bar)",Data!P:P,Data!M:M))</f>
        <v/>
      </c>
      <c r="N50" s="228">
        <f>IF(E50="","",E50)</f>
        <v>0</v>
      </c>
      <c r="O50" s="228" t="str">
        <f>IF(R50="","",_xlfn.XLOOKUP(R50&amp;" (3 hrs of Open Bar)",Data!P:P,Data!R:R))</f>
        <v/>
      </c>
      <c r="P50" s="243" t="str">
        <f>+IF(R50="","",N50*O50)</f>
        <v/>
      </c>
      <c r="Q50" s="320" t="str">
        <f>IF(R50="","",_xlfn.XLOOKUP(R50&amp;" (3 hrs of Open Bar)",Data!P:P,Data!S:S))</f>
        <v/>
      </c>
      <c r="R50" s="248" t="str">
        <f>IF(D50="","",B50)</f>
        <v/>
      </c>
      <c r="T50" s="168" t="str">
        <f t="shared" si="6"/>
        <v/>
      </c>
      <c r="U50" s="169" t="str">
        <f>IF($AE50="","",IF($H$139="USD",$AE50/(1+$AF50),IF($H$139='[1]Info I'!$G$3,$AE50/$R$12/(1+$AF50),"Error")))</f>
        <v/>
      </c>
      <c r="V50" s="170" t="str">
        <f>IF($AG50="","",IF($AH50="USD",$AG50,IF($AH50=Data!$AD$3,$AG50/$R$12,"Error")))</f>
        <v/>
      </c>
      <c r="W50" s="171" t="str">
        <f>IF($AI50="","",IF($AJ50="USD",$AI50,IF($AJ50='[1]Info I'!$G$3,$AI50/$R$12,"Error")))</f>
        <v/>
      </c>
      <c r="X50" s="169" t="str">
        <f t="shared" si="9"/>
        <v/>
      </c>
      <c r="Y50" s="332" t="str">
        <f t="shared" si="0"/>
        <v/>
      </c>
      <c r="Z50" s="351" t="str">
        <f>IF($AE50="","",IF($H$139="USD",$AE50/(1+$AF50),IF($H$139='[1]Info I'!$G$3,$AE50/$R$11/(1+$AF50),"Error")))</f>
        <v/>
      </c>
      <c r="AA50" s="352" t="str">
        <f>IF($AG50="","",IF($AH50="USD",$AG50,IF($AH50=Data!$AD$3,$AG50/$R$11,"Error")))</f>
        <v/>
      </c>
      <c r="AB50" s="353" t="str">
        <f>IF($AI50="","",IF($AJ50="USD",$AI50,IF($AJ50='[1]Info I'!$G$3,$AI50/$R$11,"Error")))</f>
        <v/>
      </c>
      <c r="AC50" s="354" t="str">
        <f>IFERROR(IF(+IF(AA50="",0,AA50)+IF(AB50="",0,AB50)=0,"",+IF(AA50="",0,AA50)+IF(AB50="",0,AB50)),"Error")</f>
        <v/>
      </c>
      <c r="AD50" s="355" t="str">
        <f t="shared" si="1"/>
        <v/>
      </c>
      <c r="AE50" s="172" t="str">
        <f t="shared" si="8"/>
        <v/>
      </c>
      <c r="AF50" s="173" t="str">
        <f>IFERROR(IF(T50="","",VLOOKUP(T50,Data!V:Z,4,FALSE)),"Error")</f>
        <v/>
      </c>
      <c r="AG50" s="172" t="str">
        <f t="shared" si="2"/>
        <v/>
      </c>
      <c r="AH50" s="174" t="str">
        <f t="shared" si="3"/>
        <v/>
      </c>
      <c r="AI50" s="172" t="str">
        <f t="shared" si="4"/>
        <v/>
      </c>
      <c r="AJ50" s="174" t="str">
        <f t="shared" si="5"/>
        <v/>
      </c>
    </row>
    <row r="51" spans="1:36" ht="18.75">
      <c r="A51" s="526"/>
      <c r="B51" s="451" t="str">
        <f>IF(B50="","","Open Bar (3 hrs included in buffet)")</f>
        <v/>
      </c>
      <c r="C51" s="452"/>
      <c r="D51" s="148" t="str">
        <f>_xlfn.XLOOKUP(Invoice!B51,Data!$P:$P,Data!$N:$N,"")</f>
        <v/>
      </c>
      <c r="E51" s="151">
        <f>Planner!C23</f>
        <v>0</v>
      </c>
      <c r="F51" s="155">
        <v>0</v>
      </c>
      <c r="G51" s="155">
        <v>0</v>
      </c>
      <c r="H51" s="148" t="s">
        <v>21</v>
      </c>
      <c r="I51" s="119"/>
      <c r="J51" s="312"/>
      <c r="L51" s="157"/>
      <c r="M51" s="247" t="str">
        <f>IF(R51="","",_xlfn.XLOOKUP(R51,Data!P:P,Data!M:M))</f>
        <v/>
      </c>
      <c r="N51" s="228">
        <f>IF(E51="","",E51)</f>
        <v>0</v>
      </c>
      <c r="O51" s="228" t="str">
        <f>IF(R51="","",_xlfn.XLOOKUP(R51,Data!P:P,Data!R:R))</f>
        <v/>
      </c>
      <c r="P51" s="243" t="str">
        <f>+IF(R51="","",N51*O51)</f>
        <v/>
      </c>
      <c r="Q51" s="320" t="str">
        <f>IF(R51="","",_xlfn.XLOOKUP(R51,Data!P:P,Data!S:S))</f>
        <v/>
      </c>
      <c r="R51" s="248" t="str">
        <f>IF(D51="","",B51)</f>
        <v/>
      </c>
      <c r="T51" s="168" t="str">
        <f t="shared" si="6"/>
        <v/>
      </c>
      <c r="U51" s="169" t="str">
        <f>IF($AE51="","",IF($H$139="USD",$AE51/(1+$AF51),IF($H$139='[1]Info I'!$G$3,$AE51/$R$12/(1+$AF51),"Error")))</f>
        <v/>
      </c>
      <c r="V51" s="170" t="str">
        <f>IF($AG51="","",IF($AH51="USD",$AG51,IF($AH51=Data!$AD$3,$AG51/$R$12,"Error")))</f>
        <v/>
      </c>
      <c r="W51" s="171" t="str">
        <f>IF($AI51="","",IF($AJ51="USD",$AI51,IF($AJ51='[1]Info I'!$G$3,$AI51/$R$12,"Error")))</f>
        <v/>
      </c>
      <c r="X51" s="169" t="str">
        <f t="shared" si="9"/>
        <v/>
      </c>
      <c r="Y51" s="332" t="str">
        <f t="shared" si="0"/>
        <v/>
      </c>
      <c r="Z51" s="351" t="str">
        <f>IF($AE51="","",IF($H$139="USD",$AE51/(1+$AF51),IF($H$139='[1]Info I'!$G$3,$AE51/$R$11/(1+$AF51),"Error")))</f>
        <v/>
      </c>
      <c r="AA51" s="352" t="str">
        <f>IF($AG51="","",IF($AH51="USD",$AG51,IF($AH51=Data!$AD$3,$AG51/$R$11,"Error")))</f>
        <v/>
      </c>
      <c r="AB51" s="353" t="str">
        <f>IF($AI51="","",IF($AJ51="USD",$AI51,IF($AJ51='[1]Info I'!$G$3,$AI51/$R$11,"Error")))</f>
        <v/>
      </c>
      <c r="AC51" s="354" t="str">
        <f t="shared" si="7"/>
        <v/>
      </c>
      <c r="AD51" s="355" t="str">
        <f t="shared" si="1"/>
        <v/>
      </c>
      <c r="AE51" s="172" t="str">
        <f t="shared" si="8"/>
        <v/>
      </c>
      <c r="AF51" s="173" t="str">
        <f>IFERROR(IF(T51="","",VLOOKUP(T51,Data!V:Z,4,FALSE)),"Error")</f>
        <v/>
      </c>
      <c r="AG51" s="172" t="str">
        <f t="shared" ref="AG51:AG82" si="13">IF(J51="","",J51)</f>
        <v/>
      </c>
      <c r="AH51" s="174" t="str">
        <f t="shared" ref="AH51:AH82" si="14">IF(AG51="","",IF(K51="","Error",K51))</f>
        <v/>
      </c>
      <c r="AI51" s="172" t="str">
        <f t="shared" ref="AI51:AI82" si="15">IF(P51="","",P51)</f>
        <v/>
      </c>
      <c r="AJ51" s="174" t="str">
        <f t="shared" ref="AJ51:AJ82" si="16">IF(AI51="","",IF(Q51="","Error",Q51))</f>
        <v/>
      </c>
    </row>
    <row r="52" spans="1:36" ht="18.75">
      <c r="A52" s="526"/>
      <c r="B52" s="451" t="str">
        <f>IF(Planner!I68&gt;3,"Open Bar Additional Hour ("&amp;Planner!I68-3&amp;" hours)","")</f>
        <v/>
      </c>
      <c r="C52" s="452"/>
      <c r="D52" s="148" t="str">
        <f>IF(B52="","",_xlfn.XLOOKUP(LEFT(Invoice!B52,SEARCH(" (",Invoice!B52)-1),Data!$P:$P,Data!$N:$N,""))</f>
        <v/>
      </c>
      <c r="E52" s="151">
        <f>Planner!C23</f>
        <v>0</v>
      </c>
      <c r="F52" s="155" t="str">
        <f>IF(B52="","",_xlfn.XLOOKUP(LEFT(Invoice!B52,SEARCH(" (",Invoice!B52)-1),Data!$P:$P,Data!$Q:$Q,"")*((MOD(Planner!I67-Planner!G67, 1)*24)-3))</f>
        <v/>
      </c>
      <c r="G52" s="155" t="str">
        <f>IFERROR(E52*F52,"")</f>
        <v/>
      </c>
      <c r="H52" s="148" t="s">
        <v>21</v>
      </c>
      <c r="I52" s="119"/>
      <c r="J52" s="312"/>
      <c r="L52" s="157"/>
      <c r="M52" s="247" t="str">
        <f>IF(R52="","",_xlfn.XLOOKUP(R52,Data!P:P,Data!M:M))</f>
        <v/>
      </c>
      <c r="N52" s="228">
        <f>IF(E52="","",E52)</f>
        <v>0</v>
      </c>
      <c r="O52" s="228" t="str">
        <f>IF(R52="","",_xlfn.XLOOKUP(R52,Data!P:P,Data!R:R))</f>
        <v/>
      </c>
      <c r="P52" s="243" t="str">
        <f>+IF(R52="","",N52*O52)</f>
        <v/>
      </c>
      <c r="Q52" s="320" t="str">
        <f>IF(R52="","",_xlfn.XLOOKUP(R52,Data!P:P,Data!S:S))</f>
        <v/>
      </c>
      <c r="R52" s="248" t="str">
        <f>IF(D52="","",LEFT($B52,SEARCH(" (",$B52)-1))</f>
        <v/>
      </c>
      <c r="T52" s="168" t="str">
        <f t="shared" si="6"/>
        <v/>
      </c>
      <c r="U52" s="169" t="str">
        <f>IF($AE52="","",IF($H$139="USD",$AE52/(1+$AF52),IF($H$139='[1]Info I'!$G$3,$AE52/$R$12/(1+$AF52),"Error")))</f>
        <v/>
      </c>
      <c r="V52" s="170" t="str">
        <f>IF($AG52="","",IF($AH52="USD",$AG52,IF($AH52=Data!$AD$3,$AG52/$R$12,"Error")))</f>
        <v/>
      </c>
      <c r="W52" s="171" t="str">
        <f>IF($AI52="","",IF($AJ52="USD",$AI52,IF($AJ52='[1]Info I'!$G$3,$AI52/$R$12,"Error")))</f>
        <v/>
      </c>
      <c r="X52" s="169" t="str">
        <f t="shared" si="9"/>
        <v/>
      </c>
      <c r="Y52" s="332" t="str">
        <f t="shared" si="0"/>
        <v/>
      </c>
      <c r="Z52" s="351" t="str">
        <f>IF($AE52="","",IF($H$139="USD",$AE52/(1+$AF52),IF($H$139='[1]Info I'!$G$3,$AE52/$R$11/(1+$AF52),"Error")))</f>
        <v/>
      </c>
      <c r="AA52" s="352" t="str">
        <f>IF($AG52="","",IF($AH52="USD",$AG52,IF($AH52=Data!$AD$3,$AG52/$R$11,"Error")))</f>
        <v/>
      </c>
      <c r="AB52" s="353" t="str">
        <f>IF($AI52="","",IF($AJ52="USD",$AI52,IF($AJ52='[1]Info I'!$G$3,$AI52/$R$11,"Error")))</f>
        <v/>
      </c>
      <c r="AC52" s="354" t="str">
        <f t="shared" si="7"/>
        <v/>
      </c>
      <c r="AD52" s="355" t="str">
        <f t="shared" si="1"/>
        <v/>
      </c>
      <c r="AE52" s="172" t="str">
        <f t="shared" ref="AE52:AE83" si="17">IF(+G52=0,"",+G52)</f>
        <v/>
      </c>
      <c r="AF52" s="173" t="str">
        <f>IFERROR(IF(T52="","",VLOOKUP(T52,Data!V:Z,4,FALSE)),"Error")</f>
        <v/>
      </c>
      <c r="AG52" s="172" t="str">
        <f t="shared" si="13"/>
        <v/>
      </c>
      <c r="AH52" s="174" t="str">
        <f t="shared" si="14"/>
        <v/>
      </c>
      <c r="AI52" s="172" t="str">
        <f t="shared" si="15"/>
        <v/>
      </c>
      <c r="AJ52" s="174" t="str">
        <f t="shared" si="16"/>
        <v/>
      </c>
    </row>
    <row r="53" spans="1:36" ht="18.75">
      <c r="A53" s="526"/>
      <c r="B53" s="451" t="str">
        <f>IF(OR(Planner!E68="",Planner!E68=0),"",B50&amp;" Kids")</f>
        <v/>
      </c>
      <c r="C53" s="452"/>
      <c r="D53" s="148" t="str">
        <f>IF(B53="","",D50)</f>
        <v/>
      </c>
      <c r="E53" s="151">
        <f>Planner!E68</f>
        <v>0</v>
      </c>
      <c r="F53" s="155">
        <f>F50/2</f>
        <v>0</v>
      </c>
      <c r="G53" s="155">
        <f t="shared" si="12"/>
        <v>0</v>
      </c>
      <c r="H53" s="148" t="s">
        <v>21</v>
      </c>
      <c r="I53" s="119"/>
      <c r="J53" s="312"/>
      <c r="L53" s="157"/>
      <c r="M53" s="247" t="str">
        <f>IF(R53="","",_xlfn.XLOOKUP(R53,Data!P:P,Data!M:M))</f>
        <v/>
      </c>
      <c r="N53" s="228">
        <f>IF(E53="","",E53)</f>
        <v>0</v>
      </c>
      <c r="O53" s="228" t="str">
        <f>IF(R53="","",_xlfn.XLOOKUP(R53,Data!P:P,Data!R:R))</f>
        <v/>
      </c>
      <c r="P53" s="243" t="str">
        <f>+IF(R53="","",N53*O53)</f>
        <v/>
      </c>
      <c r="Q53" s="320" t="str">
        <f>IF(R53="","",_xlfn.XLOOKUP(R53,Data!P:P,Data!S:S))</f>
        <v/>
      </c>
      <c r="R53" s="248" t="str">
        <f t="shared" ref="R53:R61" si="18">IF(D53="","",B53)</f>
        <v/>
      </c>
      <c r="T53" s="168" t="str">
        <f t="shared" si="6"/>
        <v/>
      </c>
      <c r="U53" s="169" t="str">
        <f>IF($AE53="","",IF($H$139="USD",$AE53/(1+$AF53),IF($H$139='[1]Info I'!$G$3,$AE53/$R$12/(1+$AF53),"Error")))</f>
        <v/>
      </c>
      <c r="V53" s="170" t="str">
        <f>IF($AG53="","",IF($AH53="USD",$AG53,IF($AH53=Data!$AD$3,$AG53/$R$12,"Error")))</f>
        <v/>
      </c>
      <c r="W53" s="171" t="str">
        <f>IF($AI53="","",IF($AJ53="USD",$AI53,IF($AJ53='[1]Info I'!$G$3,$AI53/$R$12,"Error")))</f>
        <v/>
      </c>
      <c r="X53" s="169" t="str">
        <f>IFERROR(IF(+IF(V53="",0,V53)+IF(W53="",0,W53)=0,"",+IF(V53="",0,V53)+IF(W53="",0,W53)),"Error")</f>
        <v/>
      </c>
      <c r="Y53" s="332" t="str">
        <f>IFERROR(+(U53-X53)/U53,"")</f>
        <v/>
      </c>
      <c r="Z53" s="351" t="str">
        <f>IF($AE53="","",IF($H$139="USD",$AE53/(1+$AF53),IF($H$139='[1]Info I'!$G$3,$AE53/$R$11/(1+$AF53),"Error")))</f>
        <v/>
      </c>
      <c r="AA53" s="352" t="str">
        <f>IF($AG53="","",IF($AH53="USD",$AG53,IF($AH53=Data!$AD$3,$AG53/$R$11,"Error")))</f>
        <v/>
      </c>
      <c r="AB53" s="353" t="str">
        <f>IF($AI53="","",IF($AJ53="USD",$AI53,IF($AJ53='[1]Info I'!$G$3,$AI53/$R$11,"Error")))</f>
        <v/>
      </c>
      <c r="AC53" s="354" t="str">
        <f>IFERROR(IF(+IF(AA53="",0,AA53)+IF(AB53="",0,AB53)=0,"",+IF(AA53="",0,AA53)+IF(AB53="",0,AB53)),"Error")</f>
        <v/>
      </c>
      <c r="AD53" s="355" t="str">
        <f>IFERROR(+(Z53-AC53)/Z53,"")</f>
        <v/>
      </c>
      <c r="AE53" s="172" t="str">
        <f t="shared" si="17"/>
        <v/>
      </c>
      <c r="AF53" s="173" t="str">
        <f>IFERROR(IF(T53="","",VLOOKUP(T53,Data!V:Z,4,FALSE)),"Error")</f>
        <v/>
      </c>
      <c r="AG53" s="172" t="str">
        <f t="shared" si="13"/>
        <v/>
      </c>
      <c r="AH53" s="174" t="str">
        <f t="shared" si="14"/>
        <v/>
      </c>
      <c r="AI53" s="172" t="str">
        <f t="shared" si="15"/>
        <v/>
      </c>
      <c r="AJ53" s="174" t="str">
        <f t="shared" si="16"/>
        <v/>
      </c>
    </row>
    <row r="54" spans="1:36" ht="18.75">
      <c r="A54" s="526"/>
      <c r="B54" s="451" t="str">
        <f>IF(Planner!G68&lt;1,"","Photo &amp; Video Buffet")</f>
        <v/>
      </c>
      <c r="C54" s="452"/>
      <c r="D54" s="148" t="str">
        <f>IF(B54="","",D53)</f>
        <v/>
      </c>
      <c r="E54" s="151">
        <f>Planner!G68</f>
        <v>0</v>
      </c>
      <c r="F54" s="155" t="str">
        <f>IF(B54="","",F50)</f>
        <v/>
      </c>
      <c r="G54" s="155" t="str">
        <f t="shared" si="12"/>
        <v/>
      </c>
      <c r="H54" s="148" t="s">
        <v>21</v>
      </c>
      <c r="I54" s="119"/>
      <c r="J54" s="312"/>
      <c r="L54" s="157"/>
      <c r="M54" s="247" t="str">
        <f>IF(R54="","",_xlfn.XLOOKUP(R54&amp;" (3 hrs of Open Bar)",Data!P:P,Data!M:M))</f>
        <v/>
      </c>
      <c r="N54" s="228">
        <f>IF(E54="","",E54)</f>
        <v>0</v>
      </c>
      <c r="O54" s="228" t="str">
        <f>IF(R54="","",_xlfn.XLOOKUP(R54&amp;" (3 hrs of Open Bar)",Data!P:P,Data!R:R))</f>
        <v/>
      </c>
      <c r="P54" s="243" t="str">
        <f>+IF(R54="","",N54*O54)</f>
        <v/>
      </c>
      <c r="Q54" s="320" t="str">
        <f>IF(R54="","",_xlfn.XLOOKUP(R54&amp;" (3 hrs of Open Bar)",Data!P:P,Data!S:S))</f>
        <v/>
      </c>
      <c r="R54" s="248" t="str">
        <f>IF(E54&lt;&gt;0,B50,"")</f>
        <v/>
      </c>
      <c r="T54" s="168" t="str">
        <f t="shared" si="6"/>
        <v/>
      </c>
      <c r="U54" s="169" t="str">
        <f>IF($AE54="","",IF($H$139="USD",$AE54/(1+$AF54),IF($H$139='[1]Info I'!$G$3,$AE54/$R$12/(1+$AF54),"Error")))</f>
        <v/>
      </c>
      <c r="V54" s="170" t="str">
        <f>IF($AG54="","",IF($AH54="USD",$AG54,IF($AH54=Data!$AD$3,$AG54/$R$12,"Error")))</f>
        <v/>
      </c>
      <c r="W54" s="171" t="str">
        <f>IF($AI54="","",IF($AJ54="USD",$AI54,IF($AJ54='[1]Info I'!$G$3,$AI54/$R$12,"Error")))</f>
        <v/>
      </c>
      <c r="X54" s="169" t="str">
        <f t="shared" si="9"/>
        <v/>
      </c>
      <c r="Y54" s="332" t="str">
        <f t="shared" si="0"/>
        <v/>
      </c>
      <c r="Z54" s="351" t="str">
        <f>IF($AE54="","",IF($H$139="USD",$AE54/(1+$AF54),IF($H$139='[1]Info I'!$G$3,$AE54/$R$11/(1+$AF54),"Error")))</f>
        <v/>
      </c>
      <c r="AA54" s="352" t="str">
        <f>IF($AG54="","",IF($AH54="USD",$AG54,IF($AH54=Data!$AD$3,$AG54/$R$11,"Error")))</f>
        <v/>
      </c>
      <c r="AB54" s="353" t="str">
        <f>IF($AI54="","",IF($AJ54="USD",$AI54,IF($AJ54='[1]Info I'!$G$3,$AI54/$R$11,"Error")))</f>
        <v/>
      </c>
      <c r="AC54" s="354" t="str">
        <f t="shared" ref="AC54:AC108" si="19">IFERROR(IF(+IF(AA54="",0,AA54)+IF(AB54="",0,AB54)=0,"",+IF(AA54="",0,AA54)+IF(AB54="",0,AB54)),"Error")</f>
        <v/>
      </c>
      <c r="AD54" s="355" t="str">
        <f t="shared" ref="AD54:AD108" si="20">IFERROR(+(Z54-AC54)/Z54,"")</f>
        <v/>
      </c>
      <c r="AE54" s="172" t="str">
        <f t="shared" si="17"/>
        <v/>
      </c>
      <c r="AF54" s="173" t="str">
        <f>IFERROR(IF(T54="","",VLOOKUP(T54,Data!V:Z,4,FALSE)),"Error")</f>
        <v/>
      </c>
      <c r="AG54" s="172" t="str">
        <f t="shared" si="13"/>
        <v/>
      </c>
      <c r="AH54" s="174" t="str">
        <f t="shared" si="14"/>
        <v/>
      </c>
      <c r="AI54" s="172" t="str">
        <f t="shared" si="15"/>
        <v/>
      </c>
      <c r="AJ54" s="174" t="str">
        <f t="shared" si="16"/>
        <v/>
      </c>
    </row>
    <row r="55" spans="1:36" ht="18.75">
      <c r="A55" s="526"/>
      <c r="B55" s="451" t="str">
        <f>IF(Planner!$C$70="","",Planner!$C$70)</f>
        <v/>
      </c>
      <c r="C55" s="452"/>
      <c r="D55" s="148" t="str">
        <f>_xlfn.XLOOKUP(Invoice!B55,Data!$P:$P,Data!$N:$N,"")</f>
        <v/>
      </c>
      <c r="E55" s="151" t="str">
        <f>IF(B55="","",IF(_xlfn.XLOOKUP(B55,Data!$P:$P,Data!$T:$T,"")=1,"1",(Planner!$C$68+Planner!$E$68)))</f>
        <v/>
      </c>
      <c r="F55" s="155" t="str">
        <f>_xlfn.XLOOKUP($B55,Data!$P:$P,Data!$Q:$Q,"")</f>
        <v/>
      </c>
      <c r="G55" s="155" t="str">
        <f t="shared" ref="G55:G60" si="21">IFERROR(E55*F55,"")</f>
        <v/>
      </c>
      <c r="H55" s="148" t="s">
        <v>21</v>
      </c>
      <c r="I55" s="119"/>
      <c r="J55" s="312"/>
      <c r="L55" s="157"/>
      <c r="M55" s="247" t="str">
        <f>IF(R55="","",_xlfn.XLOOKUP(R55,Data!P:P,Data!M:M))</f>
        <v/>
      </c>
      <c r="N55" s="228" t="str">
        <f t="shared" ref="N55:N61" si="22">IF(E55="","",E55)</f>
        <v/>
      </c>
      <c r="O55" s="228" t="str">
        <f>IF(R55="","",_xlfn.XLOOKUP(R55,Data!P:P,Data!R:R))</f>
        <v/>
      </c>
      <c r="P55" s="243" t="str">
        <f t="shared" ref="P55:P61" si="23">+IF(R55="","",N55*O55)</f>
        <v/>
      </c>
      <c r="Q55" s="320" t="str">
        <f>IF(R55="","",_xlfn.XLOOKUP(R55,Data!P:P,Data!S:S))</f>
        <v/>
      </c>
      <c r="R55" s="248" t="str">
        <f t="shared" si="18"/>
        <v/>
      </c>
      <c r="T55" s="168" t="str">
        <f t="shared" si="6"/>
        <v/>
      </c>
      <c r="U55" s="169" t="str">
        <f>IF($AE55="","",IF($H$139="USD",$AE55/(1+$AF55),IF($H$139='[1]Info I'!$G$3,$AE55/$R$12/(1+$AF55),"Error")))</f>
        <v/>
      </c>
      <c r="V55" s="170" t="str">
        <f>IF($AG55="","",IF($AH55="USD",$AG55,IF($AH55=Data!$AD$3,$AG55/$R$12,"Error")))</f>
        <v/>
      </c>
      <c r="W55" s="171" t="str">
        <f>IF($AI55="","",IF($AJ55="USD",$AI55,IF($AJ55='[1]Info I'!$G$3,$AI55/$R$12,"Error")))</f>
        <v/>
      </c>
      <c r="X55" s="169" t="str">
        <f t="shared" si="9"/>
        <v/>
      </c>
      <c r="Y55" s="332" t="str">
        <f t="shared" si="0"/>
        <v/>
      </c>
      <c r="Z55" s="351" t="str">
        <f>IF($AE55="","",IF($H$139="USD",$AE55/(1+$AF55),IF($H$139='[1]Info I'!$G$3,$AE55/$R$11/(1+$AF55),"Error")))</f>
        <v/>
      </c>
      <c r="AA55" s="352" t="str">
        <f>IF($AG55="","",IF($AH55="USD",$AG55,IF($AH55=Data!$AD$3,$AG55/$R$11,"Error")))</f>
        <v/>
      </c>
      <c r="AB55" s="353" t="str">
        <f>IF($AI55="","",IF($AJ55="USD",$AI55,IF($AJ55='[1]Info I'!$G$3,$AI55/$R$11,"Error")))</f>
        <v/>
      </c>
      <c r="AC55" s="354" t="str">
        <f t="shared" si="19"/>
        <v/>
      </c>
      <c r="AD55" s="355" t="str">
        <f t="shared" si="20"/>
        <v/>
      </c>
      <c r="AE55" s="172" t="str">
        <f t="shared" si="17"/>
        <v/>
      </c>
      <c r="AF55" s="173" t="str">
        <f>IFERROR(IF(T55="","",VLOOKUP(T55,Data!V:Z,4,FALSE)),"Error")</f>
        <v/>
      </c>
      <c r="AG55" s="172" t="str">
        <f t="shared" si="13"/>
        <v/>
      </c>
      <c r="AH55" s="174" t="str">
        <f t="shared" si="14"/>
        <v/>
      </c>
      <c r="AI55" s="172" t="str">
        <f t="shared" si="15"/>
        <v/>
      </c>
      <c r="AJ55" s="174" t="str">
        <f t="shared" si="16"/>
        <v/>
      </c>
    </row>
    <row r="56" spans="1:36" ht="18.75">
      <c r="A56" s="526"/>
      <c r="B56" s="451" t="str">
        <f>IF(Planner!$C$71="","",Planner!$C$71)</f>
        <v/>
      </c>
      <c r="C56" s="452"/>
      <c r="D56" s="148" t="str">
        <f>_xlfn.XLOOKUP(Invoice!B56,Data!$P:$P,Data!$N:$N,"")</f>
        <v/>
      </c>
      <c r="E56" s="151" t="str">
        <f>IF(B56="","",IF(_xlfn.XLOOKUP(B56,Data!$P:$P,Data!$T:$T,"")=1,"1",(Planner!$C$68+Planner!$E$68)))</f>
        <v/>
      </c>
      <c r="F56" s="155" t="str">
        <f>_xlfn.XLOOKUP($B56,Data!$P:$P,Data!$Q:$Q,"")</f>
        <v/>
      </c>
      <c r="G56" s="155" t="str">
        <f t="shared" si="21"/>
        <v/>
      </c>
      <c r="H56" s="148" t="s">
        <v>21</v>
      </c>
      <c r="I56" s="119"/>
      <c r="J56" s="312"/>
      <c r="L56" s="157"/>
      <c r="M56" s="247" t="str">
        <f>IF(R56="","",_xlfn.XLOOKUP(R56,Data!P:P,Data!M:M))</f>
        <v/>
      </c>
      <c r="N56" s="228" t="str">
        <f t="shared" si="22"/>
        <v/>
      </c>
      <c r="O56" s="228" t="str">
        <f>IF(R56="","",_xlfn.XLOOKUP(R56,Data!P:P,Data!R:R))</f>
        <v/>
      </c>
      <c r="P56" s="243" t="str">
        <f t="shared" si="23"/>
        <v/>
      </c>
      <c r="Q56" s="320" t="str">
        <f>IF(R56="","",_xlfn.XLOOKUP(R56,Data!P:P,Data!S:S))</f>
        <v/>
      </c>
      <c r="R56" s="248" t="str">
        <f t="shared" si="18"/>
        <v/>
      </c>
      <c r="T56" s="168" t="str">
        <f t="shared" si="6"/>
        <v/>
      </c>
      <c r="U56" s="169" t="str">
        <f>IF($AE56="","",IF($H$139="USD",$AE56/(1+$AF56),IF($H$139='[1]Info I'!$G$3,$AE56/$R$12/(1+$AF56),"Error")))</f>
        <v/>
      </c>
      <c r="V56" s="170" t="str">
        <f>IF($AG56="","",IF($AH56="USD",$AG56,IF($AH56=Data!$AD$3,$AG56/$R$12,"Error")))</f>
        <v/>
      </c>
      <c r="W56" s="171" t="str">
        <f>IF($AI56="","",IF($AJ56="USD",$AI56,IF($AJ56='[1]Info I'!$G$3,$AI56/$R$12,"Error")))</f>
        <v/>
      </c>
      <c r="X56" s="169" t="str">
        <f t="shared" si="9"/>
        <v/>
      </c>
      <c r="Y56" s="332" t="str">
        <f t="shared" si="0"/>
        <v/>
      </c>
      <c r="Z56" s="351" t="str">
        <f>IF($AE56="","",IF($H$139="USD",$AE56/(1+$AF56),IF($H$139='[1]Info I'!$G$3,$AE56/$R$11/(1+$AF56),"Error")))</f>
        <v/>
      </c>
      <c r="AA56" s="352" t="str">
        <f>IF($AG56="","",IF($AH56="USD",$AG56,IF($AH56=Data!$AD$3,$AG56/$R$11,"Error")))</f>
        <v/>
      </c>
      <c r="AB56" s="353" t="str">
        <f>IF($AI56="","",IF($AJ56="USD",$AI56,IF($AJ56='[1]Info I'!$G$3,$AI56/$R$11,"Error")))</f>
        <v/>
      </c>
      <c r="AC56" s="354" t="str">
        <f t="shared" si="19"/>
        <v/>
      </c>
      <c r="AD56" s="355" t="str">
        <f t="shared" si="20"/>
        <v/>
      </c>
      <c r="AE56" s="172" t="str">
        <f t="shared" si="17"/>
        <v/>
      </c>
      <c r="AF56" s="173" t="str">
        <f>IFERROR(IF(T56="","",VLOOKUP(T56,Data!V:Z,4,FALSE)),"Error")</f>
        <v/>
      </c>
      <c r="AG56" s="172" t="str">
        <f t="shared" si="13"/>
        <v/>
      </c>
      <c r="AH56" s="174" t="str">
        <f t="shared" si="14"/>
        <v/>
      </c>
      <c r="AI56" s="172" t="str">
        <f t="shared" si="15"/>
        <v/>
      </c>
      <c r="AJ56" s="174" t="str">
        <f t="shared" si="16"/>
        <v/>
      </c>
    </row>
    <row r="57" spans="1:36" ht="18.75">
      <c r="A57" s="526"/>
      <c r="B57" s="451" t="str">
        <f>IF(Planner!$C$72="","",Planner!$C$72)</f>
        <v/>
      </c>
      <c r="C57" s="452"/>
      <c r="D57" s="148" t="str">
        <f>_xlfn.XLOOKUP(Invoice!B57,Data!$P:$P,Data!$N:$N,"")</f>
        <v/>
      </c>
      <c r="E57" s="151" t="str">
        <f>IF(B57="","",IF(_xlfn.XLOOKUP(B57,Data!$P:$P,Data!$T:$T,"")=1,"1",(Planner!$C$68+Planner!$E$68)))</f>
        <v/>
      </c>
      <c r="F57" s="155" t="str">
        <f>_xlfn.XLOOKUP($B57,Data!$P:$P,Data!$Q:$Q,"")</f>
        <v/>
      </c>
      <c r="G57" s="155" t="str">
        <f t="shared" si="21"/>
        <v/>
      </c>
      <c r="H57" s="148" t="s">
        <v>21</v>
      </c>
      <c r="I57" s="119"/>
      <c r="J57" s="312"/>
      <c r="L57" s="157"/>
      <c r="M57" s="247" t="str">
        <f>IF(R57="","",_xlfn.XLOOKUP(R57,Data!P:P,Data!M:M))</f>
        <v/>
      </c>
      <c r="N57" s="228" t="str">
        <f t="shared" si="22"/>
        <v/>
      </c>
      <c r="O57" s="228" t="str">
        <f>IF(R57="","",_xlfn.XLOOKUP(R57,Data!P:P,Data!R:R))</f>
        <v/>
      </c>
      <c r="P57" s="243" t="str">
        <f t="shared" si="23"/>
        <v/>
      </c>
      <c r="Q57" s="320" t="str">
        <f>IF(R57="","",_xlfn.XLOOKUP(R57,Data!P:P,Data!S:S))</f>
        <v/>
      </c>
      <c r="R57" s="248" t="str">
        <f t="shared" si="18"/>
        <v/>
      </c>
      <c r="T57" s="168" t="str">
        <f t="shared" si="6"/>
        <v/>
      </c>
      <c r="U57" s="169" t="str">
        <f>IF($AE57="","",IF($H$139="USD",$AE57/(1+$AF57),IF($H$139='[1]Info I'!$G$3,$AE57/$R$12/(1+$AF57),"Error")))</f>
        <v/>
      </c>
      <c r="V57" s="170" t="str">
        <f>IF($AG57="","",IF($AH57="USD",$AG57,IF($AH57=Data!$AD$3,$AG57/$R$12,"Error")))</f>
        <v/>
      </c>
      <c r="W57" s="171" t="str">
        <f>IF($AI57="","",IF($AJ57="USD",$AI57,IF($AJ57='[1]Info I'!$G$3,$AI57/$R$12,"Error")))</f>
        <v/>
      </c>
      <c r="X57" s="169" t="str">
        <f t="shared" si="9"/>
        <v/>
      </c>
      <c r="Y57" s="332" t="str">
        <f t="shared" si="0"/>
        <v/>
      </c>
      <c r="Z57" s="351" t="str">
        <f>IF($AE57="","",IF($H$139="USD",$AE57/(1+$AF57),IF($H$139='[1]Info I'!$G$3,$AE57/$R$11/(1+$AF57),"Error")))</f>
        <v/>
      </c>
      <c r="AA57" s="352" t="str">
        <f>IF($AG57="","",IF($AH57="USD",$AG57,IF($AH57=Data!$AD$3,$AG57/$R$11,"Error")))</f>
        <v/>
      </c>
      <c r="AB57" s="353" t="str">
        <f>IF($AI57="","",IF($AJ57="USD",$AI57,IF($AJ57='[1]Info I'!$G$3,$AI57/$R$11,"Error")))</f>
        <v/>
      </c>
      <c r="AC57" s="354" t="str">
        <f t="shared" si="19"/>
        <v/>
      </c>
      <c r="AD57" s="355" t="str">
        <f t="shared" si="20"/>
        <v/>
      </c>
      <c r="AE57" s="172" t="str">
        <f t="shared" si="17"/>
        <v/>
      </c>
      <c r="AF57" s="173" t="str">
        <f>IFERROR(IF(T57="","",VLOOKUP(T57,Data!V:Z,4,FALSE)),"Error")</f>
        <v/>
      </c>
      <c r="AG57" s="172" t="str">
        <f t="shared" si="13"/>
        <v/>
      </c>
      <c r="AH57" s="174" t="str">
        <f t="shared" si="14"/>
        <v/>
      </c>
      <c r="AI57" s="172" t="str">
        <f t="shared" si="15"/>
        <v/>
      </c>
      <c r="AJ57" s="174" t="str">
        <f t="shared" si="16"/>
        <v/>
      </c>
    </row>
    <row r="58" spans="1:36" ht="18.75">
      <c r="A58" s="526"/>
      <c r="B58" s="451" t="str">
        <f>IF(Planner!$C$73="","",Planner!$C$73)</f>
        <v/>
      </c>
      <c r="C58" s="452"/>
      <c r="D58" s="148" t="str">
        <f>_xlfn.XLOOKUP(Invoice!B58,Data!$P:$P,Data!$N:$N,"")</f>
        <v/>
      </c>
      <c r="E58" s="151" t="str">
        <f>IF(B58="","",IF(_xlfn.XLOOKUP(B58,Data!$P:$P,Data!$T:$T,"")=1,"1",(Planner!$C$68+Planner!$E$68)))</f>
        <v/>
      </c>
      <c r="F58" s="155" t="str">
        <f>_xlfn.XLOOKUP($B58,Data!$P:$P,Data!$Q:$Q,"")</f>
        <v/>
      </c>
      <c r="G58" s="155" t="str">
        <f t="shared" si="21"/>
        <v/>
      </c>
      <c r="H58" s="148" t="s">
        <v>21</v>
      </c>
      <c r="I58" s="119"/>
      <c r="J58" s="312"/>
      <c r="L58" s="157"/>
      <c r="M58" s="247" t="str">
        <f>IF(R58="","",_xlfn.XLOOKUP(R58,Data!P:P,Data!M:M))</f>
        <v/>
      </c>
      <c r="N58" s="228" t="str">
        <f t="shared" si="22"/>
        <v/>
      </c>
      <c r="O58" s="228" t="str">
        <f>IF(R58="","",_xlfn.XLOOKUP(R58,Data!P:P,Data!R:R))</f>
        <v/>
      </c>
      <c r="P58" s="243" t="str">
        <f t="shared" si="23"/>
        <v/>
      </c>
      <c r="Q58" s="320" t="str">
        <f>IF(R58="","",_xlfn.XLOOKUP(R58,Data!P:P,Data!S:S))</f>
        <v/>
      </c>
      <c r="R58" s="248" t="str">
        <f t="shared" si="18"/>
        <v/>
      </c>
      <c r="T58" s="168" t="str">
        <f t="shared" si="6"/>
        <v/>
      </c>
      <c r="U58" s="169" t="str">
        <f>IF($AE58="","",IF($H$139="USD",$AE58/(1+$AF58),IF($H$139='[1]Info I'!$G$3,$AE58/$R$12/(1+$AF58),"Error")))</f>
        <v/>
      </c>
      <c r="V58" s="170" t="str">
        <f>IF($AG58="","",IF($AH58="USD",$AG58,IF($AH58=Data!$AD$3,$AG58/$R$12,"Error")))</f>
        <v/>
      </c>
      <c r="W58" s="171" t="str">
        <f>IF($AI58="","",IF($AJ58="USD",$AI58,IF($AJ58='[1]Info I'!$G$3,$AI58/$R$12,"Error")))</f>
        <v/>
      </c>
      <c r="X58" s="169" t="str">
        <f t="shared" si="9"/>
        <v/>
      </c>
      <c r="Y58" s="332" t="str">
        <f t="shared" si="0"/>
        <v/>
      </c>
      <c r="Z58" s="351" t="str">
        <f>IF($AE58="","",IF($H$139="USD",$AE58/(1+$AF58),IF($H$139='[1]Info I'!$G$3,$AE58/$R$11/(1+$AF58),"Error")))</f>
        <v/>
      </c>
      <c r="AA58" s="352" t="str">
        <f>IF($AG58="","",IF($AH58="USD",$AG58,IF($AH58=Data!$AD$3,$AG58/$R$11,"Error")))</f>
        <v/>
      </c>
      <c r="AB58" s="353" t="str">
        <f>IF($AI58="","",IF($AJ58="USD",$AI58,IF($AJ58='[1]Info I'!$G$3,$AI58/$R$11,"Error")))</f>
        <v/>
      </c>
      <c r="AC58" s="354" t="str">
        <f t="shared" si="19"/>
        <v/>
      </c>
      <c r="AD58" s="355" t="str">
        <f t="shared" si="20"/>
        <v/>
      </c>
      <c r="AE58" s="172" t="str">
        <f t="shared" si="17"/>
        <v/>
      </c>
      <c r="AF58" s="173" t="str">
        <f>IFERROR(IF(T58="","",VLOOKUP(T58,Data!V:Z,4,FALSE)),"Error")</f>
        <v/>
      </c>
      <c r="AG58" s="172" t="str">
        <f t="shared" si="13"/>
        <v/>
      </c>
      <c r="AH58" s="174" t="str">
        <f t="shared" si="14"/>
        <v/>
      </c>
      <c r="AI58" s="172" t="str">
        <f t="shared" si="15"/>
        <v/>
      </c>
      <c r="AJ58" s="174" t="str">
        <f t="shared" si="16"/>
        <v/>
      </c>
    </row>
    <row r="59" spans="1:36" ht="18.75">
      <c r="A59" s="526"/>
      <c r="B59" s="451" t="str">
        <f>IF(Planner!$C$74="","",Planner!$C$74)</f>
        <v/>
      </c>
      <c r="C59" s="452"/>
      <c r="D59" s="148" t="str">
        <f>_xlfn.XLOOKUP(Invoice!B59,Data!$P:$P,Data!$N:$N,"")</f>
        <v/>
      </c>
      <c r="E59" s="151" t="str">
        <f>IF(B59="","",IF(_xlfn.XLOOKUP(B59,Data!$P:$P,Data!$T:$T,"")=1,"1",(Planner!$C$68+Planner!$E$68)))</f>
        <v/>
      </c>
      <c r="F59" s="155" t="str">
        <f>_xlfn.XLOOKUP($B59,Data!$P:$P,Data!$Q:$Q,"")</f>
        <v/>
      </c>
      <c r="G59" s="155" t="str">
        <f t="shared" si="21"/>
        <v/>
      </c>
      <c r="H59" s="148" t="s">
        <v>21</v>
      </c>
      <c r="I59" s="119"/>
      <c r="J59" s="312"/>
      <c r="L59" s="157"/>
      <c r="M59" s="247" t="str">
        <f>IF(R59="","",_xlfn.XLOOKUP(R59,Data!P:P,Data!M:M))</f>
        <v/>
      </c>
      <c r="N59" s="228" t="str">
        <f t="shared" si="22"/>
        <v/>
      </c>
      <c r="O59" s="228" t="str">
        <f>IF(R59="","",_xlfn.XLOOKUP(R59,Data!P:P,Data!R:R))</f>
        <v/>
      </c>
      <c r="P59" s="243" t="str">
        <f t="shared" si="23"/>
        <v/>
      </c>
      <c r="Q59" s="320" t="str">
        <f>IF(R59="","",_xlfn.XLOOKUP(R59,Data!P:P,Data!S:S))</f>
        <v/>
      </c>
      <c r="R59" s="248" t="str">
        <f t="shared" si="18"/>
        <v/>
      </c>
      <c r="T59" s="168" t="str">
        <f t="shared" si="6"/>
        <v/>
      </c>
      <c r="U59" s="169" t="str">
        <f>IF($AE59="","",IF($H$139="USD",$AE59/(1+$AF59),IF($H$139='[1]Info I'!$G$3,$AE59/$R$12/(1+$AF59),"Error")))</f>
        <v/>
      </c>
      <c r="V59" s="170" t="str">
        <f>IF($AG59="","",IF($AH59="USD",$AG59,IF($AH59=Data!$AD$3,$AG59/$R$12,"Error")))</f>
        <v/>
      </c>
      <c r="W59" s="171" t="str">
        <f>IF($AI59="","",IF($AJ59="USD",$AI59,IF($AJ59='[1]Info I'!$G$3,$AI59/$R$12,"Error")))</f>
        <v/>
      </c>
      <c r="X59" s="169" t="str">
        <f t="shared" si="9"/>
        <v/>
      </c>
      <c r="Y59" s="332" t="str">
        <f t="shared" si="0"/>
        <v/>
      </c>
      <c r="Z59" s="351" t="str">
        <f>IF($AE59="","",IF($H$139="USD",$AE59/(1+$AF59),IF($H$139='[1]Info I'!$G$3,$AE59/$R$11/(1+$AF59),"Error")))</f>
        <v/>
      </c>
      <c r="AA59" s="352" t="str">
        <f>IF($AG59="","",IF($AH59="USD",$AG59,IF($AH59=Data!$AD$3,$AG59/$R$11,"Error")))</f>
        <v/>
      </c>
      <c r="AB59" s="353" t="str">
        <f>IF($AI59="","",IF($AJ59="USD",$AI59,IF($AJ59='[1]Info I'!$G$3,$AI59/$R$11,"Error")))</f>
        <v/>
      </c>
      <c r="AC59" s="354" t="str">
        <f t="shared" si="19"/>
        <v/>
      </c>
      <c r="AD59" s="355" t="str">
        <f t="shared" si="20"/>
        <v/>
      </c>
      <c r="AE59" s="172" t="str">
        <f t="shared" si="17"/>
        <v/>
      </c>
      <c r="AF59" s="173" t="str">
        <f>IFERROR(IF(T59="","",VLOOKUP(T59,Data!V:Z,4,FALSE)),"Error")</f>
        <v/>
      </c>
      <c r="AG59" s="172" t="str">
        <f t="shared" si="13"/>
        <v/>
      </c>
      <c r="AH59" s="174" t="str">
        <f t="shared" si="14"/>
        <v/>
      </c>
      <c r="AI59" s="172" t="str">
        <f t="shared" si="15"/>
        <v/>
      </c>
      <c r="AJ59" s="174" t="str">
        <f t="shared" si="16"/>
        <v/>
      </c>
    </row>
    <row r="60" spans="1:36" ht="18.75">
      <c r="A60" s="526"/>
      <c r="B60" s="451" t="str">
        <f>IF(Planner!$C$75="","",Planner!$C$75)</f>
        <v/>
      </c>
      <c r="C60" s="452"/>
      <c r="D60" s="148" t="str">
        <f>_xlfn.XLOOKUP(Invoice!B60,Data!$P:$P,Data!$N:$N,"")</f>
        <v/>
      </c>
      <c r="E60" s="151" t="str">
        <f>IF(B60="","",IF(_xlfn.XLOOKUP(B60,Data!$P:$P,Data!$T:$T,"")=1,"1",(Planner!$C$68+Planner!$E$68)))</f>
        <v/>
      </c>
      <c r="F60" s="155" t="str">
        <f>_xlfn.XLOOKUP($B60,Data!$P:$P,Data!$Q:$Q,"")</f>
        <v/>
      </c>
      <c r="G60" s="155" t="str">
        <f t="shared" si="21"/>
        <v/>
      </c>
      <c r="H60" s="148" t="s">
        <v>21</v>
      </c>
      <c r="I60" s="119"/>
      <c r="J60" s="312"/>
      <c r="L60" s="157"/>
      <c r="M60" s="247" t="str">
        <f>IF(R60="","",_xlfn.XLOOKUP(R60,Data!P:P,Data!M:M))</f>
        <v/>
      </c>
      <c r="N60" s="330" t="str">
        <f t="shared" si="22"/>
        <v/>
      </c>
      <c r="O60" s="228" t="str">
        <f>IF(R60="","",_xlfn.XLOOKUP(R60,Data!P:P,Data!R:R))</f>
        <v/>
      </c>
      <c r="P60" s="243" t="str">
        <f t="shared" si="23"/>
        <v/>
      </c>
      <c r="Q60" s="320" t="str">
        <f>IF(R60="","",_xlfn.XLOOKUP(R60,Data!P:P,Data!S:S))</f>
        <v/>
      </c>
      <c r="R60" s="248" t="str">
        <f t="shared" si="18"/>
        <v/>
      </c>
      <c r="T60" s="168" t="str">
        <f t="shared" si="6"/>
        <v/>
      </c>
      <c r="U60" s="169" t="str">
        <f>IF($AE60="","",IF($H$139="USD",$AE60/(1+$AF60),IF($H$139='[1]Info I'!$G$3,$AE60/$R$12/(1+$AF60),"Error")))</f>
        <v/>
      </c>
      <c r="V60" s="170" t="str">
        <f>IF($AG60="","",IF($AH60="USD",$AG60,IF($AH60=Data!$AD$3,$AG60/$R$12,"Error")))</f>
        <v/>
      </c>
      <c r="W60" s="171" t="str">
        <f>IF($AI60="","",IF($AJ60="USD",$AI60,IF($AJ60='[1]Info I'!$G$3,$AI60/$R$12,"Error")))</f>
        <v/>
      </c>
      <c r="X60" s="169" t="str">
        <f t="shared" si="9"/>
        <v/>
      </c>
      <c r="Y60" s="332" t="str">
        <f t="shared" si="0"/>
        <v/>
      </c>
      <c r="Z60" s="351" t="str">
        <f>IF($AE60="","",IF($H$139="USD",$AE60/(1+$AF60),IF($H$139='[1]Info I'!$G$3,$AE60/$R$11/(1+$AF60),"Error")))</f>
        <v/>
      </c>
      <c r="AA60" s="352" t="str">
        <f>IF($AG60="","",IF($AH60="USD",$AG60,IF($AH60=Data!$AD$3,$AG60/$R$11,"Error")))</f>
        <v/>
      </c>
      <c r="AB60" s="353" t="str">
        <f>IF($AI60="","",IF($AJ60="USD",$AI60,IF($AJ60='[1]Info I'!$G$3,$AI60/$R$11,"Error")))</f>
        <v/>
      </c>
      <c r="AC60" s="354" t="str">
        <f t="shared" si="19"/>
        <v/>
      </c>
      <c r="AD60" s="355" t="str">
        <f t="shared" si="20"/>
        <v/>
      </c>
      <c r="AE60" s="172" t="str">
        <f t="shared" si="17"/>
        <v/>
      </c>
      <c r="AF60" s="173" t="str">
        <f>IFERROR(IF(T60="","",VLOOKUP(T60,Data!V:Z,4,FALSE)),"Error")</f>
        <v/>
      </c>
      <c r="AG60" s="172" t="str">
        <f t="shared" si="13"/>
        <v/>
      </c>
      <c r="AH60" s="174" t="str">
        <f t="shared" si="14"/>
        <v/>
      </c>
      <c r="AI60" s="172" t="str">
        <f t="shared" si="15"/>
        <v/>
      </c>
      <c r="AJ60" s="174" t="str">
        <f t="shared" si="16"/>
        <v/>
      </c>
    </row>
    <row r="61" spans="1:36" ht="18.75">
      <c r="A61" s="527"/>
      <c r="B61" s="451" t="str">
        <f>IF(Planner!$C$76="","",Planner!$C$76)</f>
        <v/>
      </c>
      <c r="C61" s="452"/>
      <c r="D61" s="148" t="str">
        <f>_xlfn.XLOOKUP(Invoice!B61,Data!$P:$P,Data!$N:$N,"")</f>
        <v/>
      </c>
      <c r="E61" s="151" t="str">
        <f>IF(B61="","",IF(_xlfn.XLOOKUP(B61,Data!$P:$P,Data!$T:$T,"")=1,"1",(Planner!$C$68+Planner!$E$68)))</f>
        <v/>
      </c>
      <c r="F61" s="155" t="str">
        <f>_xlfn.XLOOKUP($B61,Data!$P:$P,Data!$Q:$Q,"")</f>
        <v/>
      </c>
      <c r="G61" s="155" t="str">
        <f t="shared" ref="G61:G82" si="24">IFERROR(E61*F61,"")</f>
        <v/>
      </c>
      <c r="H61" s="148" t="s">
        <v>21</v>
      </c>
      <c r="I61" s="119"/>
      <c r="J61" s="312"/>
      <c r="L61" s="157"/>
      <c r="M61" s="247" t="str">
        <f>IF(R61="","",_xlfn.XLOOKUP(R61,Data!P:P,Data!M:M))</f>
        <v/>
      </c>
      <c r="N61" s="228" t="str">
        <f t="shared" si="22"/>
        <v/>
      </c>
      <c r="O61" s="228" t="str">
        <f>IF(R61="","",_xlfn.XLOOKUP(R61,Data!P:P,Data!R:R))</f>
        <v/>
      </c>
      <c r="P61" s="243" t="str">
        <f t="shared" si="23"/>
        <v/>
      </c>
      <c r="Q61" s="320" t="str">
        <f>IF(R61="","",_xlfn.XLOOKUP(R61,Data!P:P,Data!S:S))</f>
        <v/>
      </c>
      <c r="R61" s="248" t="str">
        <f t="shared" si="18"/>
        <v/>
      </c>
      <c r="T61" s="168" t="str">
        <f t="shared" si="6"/>
        <v/>
      </c>
      <c r="U61" s="169" t="str">
        <f>IF($AE61="","",IF($H$139="USD",$AE61/(1+$AF61),IF($H$139='[1]Info I'!$G$3,$AE61/$R$12/(1+$AF61),"Error")))</f>
        <v/>
      </c>
      <c r="V61" s="170" t="str">
        <f>IF($AG61="","",IF($AH61="USD",$AG61,IF($AH61=Data!$AD$3,$AG61/$R$12,"Error")))</f>
        <v/>
      </c>
      <c r="W61" s="171" t="str">
        <f>IF($AI61="","",IF($AJ61="USD",$AI61,IF($AJ61='[1]Info I'!$G$3,$AI61/$R$12,"Error")))</f>
        <v/>
      </c>
      <c r="X61" s="169" t="str">
        <f t="shared" si="9"/>
        <v/>
      </c>
      <c r="Y61" s="332" t="str">
        <f t="shared" si="0"/>
        <v/>
      </c>
      <c r="Z61" s="351" t="str">
        <f>IF($AE61="","",IF($H$139="USD",$AE61/(1+$AF61),IF($H$139='[1]Info I'!$G$3,$AE61/$R$11/(1+$AF61),"Error")))</f>
        <v/>
      </c>
      <c r="AA61" s="352" t="str">
        <f>IF($AG61="","",IF($AH61="USD",$AG61,IF($AH61=Data!$AD$3,$AG61/$R$11,"Error")))</f>
        <v/>
      </c>
      <c r="AB61" s="353" t="str">
        <f>IF($AI61="","",IF($AJ61="USD",$AI61,IF($AJ61='[1]Info I'!$G$3,$AI61/$R$11,"Error")))</f>
        <v/>
      </c>
      <c r="AC61" s="354" t="str">
        <f t="shared" si="19"/>
        <v/>
      </c>
      <c r="AD61" s="355" t="str">
        <f t="shared" si="20"/>
        <v/>
      </c>
      <c r="AE61" s="172" t="str">
        <f t="shared" si="17"/>
        <v/>
      </c>
      <c r="AF61" s="173" t="str">
        <f>IFERROR(IF(T61="","",VLOOKUP(T61,Data!V:Z,4,FALSE)),"Error")</f>
        <v/>
      </c>
      <c r="AG61" s="172" t="str">
        <f t="shared" si="13"/>
        <v/>
      </c>
      <c r="AH61" s="174" t="str">
        <f t="shared" si="14"/>
        <v/>
      </c>
      <c r="AI61" s="172" t="str">
        <f t="shared" si="15"/>
        <v/>
      </c>
      <c r="AJ61" s="174" t="str">
        <f t="shared" si="16"/>
        <v/>
      </c>
    </row>
    <row r="62" spans="1:36" ht="18.75">
      <c r="A62" s="456" t="s">
        <v>247</v>
      </c>
      <c r="B62" s="451" t="str">
        <f>IF(Planner!$C$89="","","Decor pckg - "&amp;Planner!$C$89)</f>
        <v/>
      </c>
      <c r="C62" s="452"/>
      <c r="D62" s="148" t="str">
        <f>_xlfn.XLOOKUP(Planner!$C$89,Data!$P:$P,Data!$N:$N,"")</f>
        <v/>
      </c>
      <c r="E62" s="151">
        <v>1</v>
      </c>
      <c r="F62" s="155">
        <f>_xlfn.XLOOKUP(Planner!$C$89,Data!$P:$P,Data!$Q:$Q,"")</f>
        <v>0</v>
      </c>
      <c r="G62" s="155">
        <f t="shared" si="24"/>
        <v>0</v>
      </c>
      <c r="H62" s="148" t="s">
        <v>21</v>
      </c>
      <c r="I62" s="119">
        <f>_xlfn.XLOOKUP(Planner!C89,Data!P:P,Data!O:O,"")</f>
        <v>0</v>
      </c>
      <c r="J62" s="312">
        <f>_xlfn.XLOOKUP(Planner!C89,Data!P:P,Data!R:R,"")</f>
        <v>0</v>
      </c>
      <c r="K62" s="118" t="str">
        <f>_xlfn.XLOOKUP(Planner!C89,Data!P:P,Data!S:S,"")</f>
        <v>MXN</v>
      </c>
      <c r="L62" s="157"/>
      <c r="M62" s="119"/>
      <c r="O62" s="312"/>
      <c r="P62" s="312"/>
      <c r="R62" s="157"/>
      <c r="T62" s="168" t="str">
        <f t="shared" si="6"/>
        <v/>
      </c>
      <c r="U62" s="169" t="str">
        <f>IF($AE62="","",IF($H$139="USD",$AE62/(1+$AF62),IF($H$139='[1]Info I'!$G$3,$AE62/$R$12/(1+$AF62),"Error")))</f>
        <v/>
      </c>
      <c r="V62" s="170">
        <f>IF($AG62="","",IF($AH62="USD",$AG62,IF($AH62=Data!$AD$3,$AG62/$R$12,"Error")))</f>
        <v>0</v>
      </c>
      <c r="W62" s="171" t="str">
        <f>IF($AI62="","",IF($AJ62="USD",$AI62,IF($AJ62='[1]Info I'!$G$3,$AI62/$R$12,"Error")))</f>
        <v/>
      </c>
      <c r="X62" s="169" t="str">
        <f t="shared" si="9"/>
        <v/>
      </c>
      <c r="Y62" s="332" t="str">
        <f t="shared" si="0"/>
        <v/>
      </c>
      <c r="Z62" s="351" t="str">
        <f>IF($AE62="","",IF($H$139="USD",$AE62/(1+$AF62),IF($H$139='[1]Info I'!$G$3,$AE62/$R$11/(1+$AF62),"Error")))</f>
        <v/>
      </c>
      <c r="AA62" s="352">
        <f>IF($AG62="","",IF($AH62="USD",$AG62,IF($AH62=Data!$AD$3,$AG62/$R$11,"Error")))</f>
        <v>0</v>
      </c>
      <c r="AB62" s="353" t="str">
        <f>IF($AI62="","",IF($AJ62="USD",$AI62,IF($AJ62='[1]Info I'!$G$3,$AI62/$R$11,"Error")))</f>
        <v/>
      </c>
      <c r="AC62" s="354" t="str">
        <f t="shared" si="19"/>
        <v/>
      </c>
      <c r="AD62" s="355" t="str">
        <f t="shared" si="20"/>
        <v/>
      </c>
      <c r="AE62" s="172" t="str">
        <f t="shared" si="17"/>
        <v/>
      </c>
      <c r="AF62" s="173" t="str">
        <f>IFERROR(IF(T62="","",VLOOKUP(T62,Data!V:Z,4,FALSE)),"Error")</f>
        <v/>
      </c>
      <c r="AG62" s="172">
        <f t="shared" si="13"/>
        <v>0</v>
      </c>
      <c r="AH62" s="174" t="str">
        <f t="shared" si="14"/>
        <v>MXN</v>
      </c>
      <c r="AI62" s="172" t="str">
        <f t="shared" si="15"/>
        <v/>
      </c>
      <c r="AJ62" s="174" t="str">
        <f t="shared" si="16"/>
        <v/>
      </c>
    </row>
    <row r="63" spans="1:36" ht="18.75">
      <c r="A63" s="456"/>
      <c r="B63" s="451" t="str">
        <f>IF(Planner!$C$90="","","Decor pckg - "&amp;Planner!$C$90)</f>
        <v/>
      </c>
      <c r="C63" s="452"/>
      <c r="D63" s="148" t="str">
        <f>_xlfn.XLOOKUP(Planner!$C$90,Data!$P:$P,Data!$N:$N,"")</f>
        <v/>
      </c>
      <c r="E63" s="151">
        <f>Planner!E90</f>
        <v>0</v>
      </c>
      <c r="F63" s="155" t="str">
        <f>_xlfn.XLOOKUP(Planner!$C$90,Data!$P:$P,Data!$Q:$Q,"")</f>
        <v/>
      </c>
      <c r="G63" s="155" t="str">
        <f t="shared" si="24"/>
        <v/>
      </c>
      <c r="H63" s="148" t="s">
        <v>21</v>
      </c>
      <c r="I63" s="119" t="str">
        <f>_xlfn.XLOOKUP(Planner!C90,Data!P:P,Data!O:O,"")</f>
        <v/>
      </c>
      <c r="J63" s="312" t="str">
        <f>_xlfn.XLOOKUP(Planner!C90,Data!P:P,Data!R:R,"")</f>
        <v/>
      </c>
      <c r="K63" s="118" t="str">
        <f>_xlfn.XLOOKUP(Planner!C90,Data!P:P,Data!S:S,"")</f>
        <v/>
      </c>
      <c r="L63" s="157"/>
      <c r="M63" s="119"/>
      <c r="O63" s="312"/>
      <c r="P63" s="312"/>
      <c r="R63" s="157"/>
      <c r="T63" s="168" t="str">
        <f t="shared" si="6"/>
        <v/>
      </c>
      <c r="U63" s="169" t="str">
        <f>IF($AE63="","",IF($H$139="USD",$AE63/(1+$AF63),IF($H$139='[1]Info I'!$G$3,$AE63/$R$12/(1+$AF63),"Error")))</f>
        <v/>
      </c>
      <c r="V63" s="170" t="str">
        <f>IF($AG63="","",IF($AH63="USD",$AG63,IF($AH63=Data!$AD$3,$AG63/$R$12,"Error")))</f>
        <v/>
      </c>
      <c r="W63" s="171" t="str">
        <f>IF($AI63="","",IF($AJ63="USD",$AI63,IF($AJ63='[1]Info I'!$G$3,$AI63/$R$12,"Error")))</f>
        <v/>
      </c>
      <c r="X63" s="169" t="str">
        <f t="shared" si="9"/>
        <v/>
      </c>
      <c r="Y63" s="332" t="str">
        <f t="shared" si="0"/>
        <v/>
      </c>
      <c r="Z63" s="351" t="str">
        <f>IF($AE63="","",IF($H$139="USD",$AE63/(1+$AF63),IF($H$139='[1]Info I'!$G$3,$AE63/$R$11/(1+$AF63),"Error")))</f>
        <v/>
      </c>
      <c r="AA63" s="352" t="str">
        <f>IF($AG63="","",IF($AH63="USD",$AG63,IF($AH63=Data!$AD$3,$AG63/$R$11,"Error")))</f>
        <v/>
      </c>
      <c r="AB63" s="353" t="str">
        <f>IF($AI63="","",IF($AJ63="USD",$AI63,IF($AJ63='[1]Info I'!$G$3,$AI63/$R$11,"Error")))</f>
        <v/>
      </c>
      <c r="AC63" s="354" t="str">
        <f t="shared" si="19"/>
        <v/>
      </c>
      <c r="AD63" s="355" t="str">
        <f t="shared" si="20"/>
        <v/>
      </c>
      <c r="AE63" s="172" t="str">
        <f t="shared" si="17"/>
        <v/>
      </c>
      <c r="AF63" s="173" t="str">
        <f>IFERROR(IF(T63="","",VLOOKUP(T63,Data!V:Z,4,FALSE)),"Error")</f>
        <v/>
      </c>
      <c r="AG63" s="172" t="str">
        <f t="shared" si="13"/>
        <v/>
      </c>
      <c r="AH63" s="174" t="str">
        <f t="shared" si="14"/>
        <v/>
      </c>
      <c r="AI63" s="172" t="str">
        <f t="shared" si="15"/>
        <v/>
      </c>
      <c r="AJ63" s="174" t="str">
        <f t="shared" si="16"/>
        <v/>
      </c>
    </row>
    <row r="64" spans="1:36" ht="18.75">
      <c r="A64" s="456"/>
      <c r="B64" s="451" t="str">
        <f>IF(Planner!$C$92="","","Stationery - "&amp;Planner!$C$92)</f>
        <v/>
      </c>
      <c r="C64" s="452"/>
      <c r="D64" s="148" t="str">
        <f>_xlfn.XLOOKUP(Planner!$C$92,Data!$P:$P,Data!$N:$N,"")</f>
        <v/>
      </c>
      <c r="E64" s="151">
        <v>1</v>
      </c>
      <c r="F64" s="155">
        <f>_xlfn.XLOOKUP(Planner!$C$92,Data!$P:$P,Data!$Q:$Q,"")</f>
        <v>0</v>
      </c>
      <c r="G64" s="155">
        <f t="shared" si="24"/>
        <v>0</v>
      </c>
      <c r="H64" s="148" t="s">
        <v>21</v>
      </c>
      <c r="I64" s="119">
        <f>_xlfn.XLOOKUP(Planner!C92,Data!P:P,Data!O:O,"")</f>
        <v>0</v>
      </c>
      <c r="J64" s="312">
        <f>_xlfn.XLOOKUP(Planner!C92,Data!P:P,Data!R:R,"")</f>
        <v>0</v>
      </c>
      <c r="K64" s="118" t="str">
        <f>_xlfn.XLOOKUP(Planner!C91,Data!P:P,Data!S:S,"")</f>
        <v>MXN</v>
      </c>
      <c r="L64" s="157"/>
      <c r="M64" s="119"/>
      <c r="O64" s="312"/>
      <c r="P64" s="312"/>
      <c r="R64" s="157"/>
      <c r="T64" s="168" t="str">
        <f t="shared" si="6"/>
        <v/>
      </c>
      <c r="U64" s="169" t="str">
        <f>IF($AE64="","",IF($H$139="USD",$AE64/(1+$AF64),IF($H$139='[1]Info I'!$G$3,$AE64/$R$12/(1+$AF64),"Error")))</f>
        <v/>
      </c>
      <c r="V64" s="170">
        <f>IF($AG64="","",IF($AH64="USD",$AG64,IF($AH64=Data!$AD$3,$AG64/$R$12,"Error")))</f>
        <v>0</v>
      </c>
      <c r="W64" s="171" t="str">
        <f>IF($AI64="","",IF($AJ64="USD",$AI64,IF($AJ64='[1]Info I'!$G$3,$AI64/$R$12,"Error")))</f>
        <v/>
      </c>
      <c r="X64" s="169" t="str">
        <f t="shared" si="9"/>
        <v/>
      </c>
      <c r="Y64" s="332" t="str">
        <f t="shared" si="0"/>
        <v/>
      </c>
      <c r="Z64" s="351" t="str">
        <f>IF($AE64="","",IF($H$139="USD",$AE64/(1+$AF64),IF($H$139='[1]Info I'!$G$3,$AE64/$R$11/(1+$AF64),"Error")))</f>
        <v/>
      </c>
      <c r="AA64" s="352">
        <f>IF($AG64="","",IF($AH64="USD",$AG64,IF($AH64=Data!$AD$3,$AG64/$R$11,"Error")))</f>
        <v>0</v>
      </c>
      <c r="AB64" s="353" t="str">
        <f>IF($AI64="","",IF($AJ64="USD",$AI64,IF($AJ64='[1]Info I'!$G$3,$AI64/$R$11,"Error")))</f>
        <v/>
      </c>
      <c r="AC64" s="354" t="str">
        <f t="shared" si="19"/>
        <v/>
      </c>
      <c r="AD64" s="355" t="str">
        <f t="shared" si="20"/>
        <v/>
      </c>
      <c r="AE64" s="172" t="str">
        <f t="shared" si="17"/>
        <v/>
      </c>
      <c r="AF64" s="173" t="str">
        <f>IFERROR(IF(T64="","",VLOOKUP(T64,Data!V:Z,4,FALSE)),"Error")</f>
        <v/>
      </c>
      <c r="AG64" s="172">
        <f t="shared" si="13"/>
        <v>0</v>
      </c>
      <c r="AH64" s="174" t="str">
        <f t="shared" si="14"/>
        <v>MXN</v>
      </c>
      <c r="AI64" s="172" t="str">
        <f t="shared" si="15"/>
        <v/>
      </c>
      <c r="AJ64" s="174" t="str">
        <f t="shared" si="16"/>
        <v/>
      </c>
    </row>
    <row r="65" spans="1:36" ht="18.75">
      <c r="A65" s="456"/>
      <c r="B65" s="451">
        <f>IF(Planner!$C$99="Family/Friends","",Planner!$C$99)</f>
        <v>0</v>
      </c>
      <c r="C65" s="452"/>
      <c r="D65" s="148" t="str">
        <f>_xlfn.XLOOKUP(Invoice!B65,Data!$P:$P,Data!$N:$N,"")</f>
        <v/>
      </c>
      <c r="E65" s="151">
        <v>1</v>
      </c>
      <c r="F65" s="155" t="str">
        <f>_xlfn.XLOOKUP($B65,Data!$P:$P,Data!$Q:$Q,"")</f>
        <v/>
      </c>
      <c r="G65" s="155" t="str">
        <f t="shared" si="24"/>
        <v/>
      </c>
      <c r="H65" s="148" t="s">
        <v>21</v>
      </c>
      <c r="I65" s="119" t="str">
        <f>_xlfn.XLOOKUP(B65,Data!P:P,Data!O:O,"")</f>
        <v/>
      </c>
      <c r="J65" s="312" t="str">
        <f>_xlfn.XLOOKUP(B65,Data!P:P,Data!R:R,"")</f>
        <v/>
      </c>
      <c r="K65" s="118" t="str">
        <f>_xlfn.XLOOKUP(B65,Data!P:P,Data!S:S,"")</f>
        <v/>
      </c>
      <c r="L65" s="157"/>
      <c r="M65" s="119"/>
      <c r="O65" s="312"/>
      <c r="P65" s="312"/>
      <c r="R65" s="157"/>
      <c r="T65" s="168" t="str">
        <f t="shared" si="6"/>
        <v/>
      </c>
      <c r="U65" s="169" t="str">
        <f>IF($AE65="","",IF($H$139="USD",$AE65/(1+$AF65),IF($H$139='[1]Info I'!$G$3,$AE65/$R$12/(1+$AF65),"Error")))</f>
        <v/>
      </c>
      <c r="V65" s="170" t="str">
        <f>IF($AG65="","",IF($AH65="USD",$AG65,IF($AH65=Data!$AD$3,$AG65/$R$12,"Error")))</f>
        <v/>
      </c>
      <c r="W65" s="171" t="str">
        <f>IF($AI65="","",IF($AJ65="USD",$AI65,IF($AJ65='[1]Info I'!$G$3,$AI65/$R$12,"Error")))</f>
        <v/>
      </c>
      <c r="X65" s="169" t="str">
        <f t="shared" si="9"/>
        <v/>
      </c>
      <c r="Y65" s="332" t="str">
        <f t="shared" si="0"/>
        <v/>
      </c>
      <c r="Z65" s="351" t="str">
        <f>IF($AE65="","",IF($H$139="USD",$AE65/(1+$AF65),IF($H$139='[1]Info I'!$G$3,$AE65/$R$11/(1+$AF65),"Error")))</f>
        <v/>
      </c>
      <c r="AA65" s="352" t="str">
        <f>IF($AG65="","",IF($AH65="USD",$AG65,IF($AH65=Data!$AD$3,$AG65/$R$11,"Error")))</f>
        <v/>
      </c>
      <c r="AB65" s="353" t="str">
        <f>IF($AI65="","",IF($AJ65="USD",$AI65,IF($AJ65='[1]Info I'!$G$3,$AI65/$R$11,"Error")))</f>
        <v/>
      </c>
      <c r="AC65" s="354" t="str">
        <f t="shared" si="19"/>
        <v/>
      </c>
      <c r="AD65" s="355" t="str">
        <f t="shared" si="20"/>
        <v/>
      </c>
      <c r="AE65" s="172" t="str">
        <f t="shared" si="17"/>
        <v/>
      </c>
      <c r="AF65" s="173" t="str">
        <f>IFERROR(IF(T65="","",VLOOKUP(T65,Data!V:Z,4,FALSE)),"Error")</f>
        <v/>
      </c>
      <c r="AG65" s="172" t="str">
        <f t="shared" si="13"/>
        <v/>
      </c>
      <c r="AH65" s="174" t="str">
        <f t="shared" si="14"/>
        <v/>
      </c>
      <c r="AI65" s="172" t="str">
        <f t="shared" si="15"/>
        <v/>
      </c>
      <c r="AJ65" s="174" t="str">
        <f t="shared" si="16"/>
        <v/>
      </c>
    </row>
    <row r="66" spans="1:36" ht="18.75">
      <c r="A66" s="455" t="s">
        <v>599</v>
      </c>
      <c r="B66" s="451">
        <f>Planner!C106</f>
        <v>0</v>
      </c>
      <c r="C66" s="452"/>
      <c r="D66" s="148" t="str">
        <f>_xlfn.XLOOKUP(Invoice!B66,Data!$P:$P,Data!$N:$N,"")</f>
        <v/>
      </c>
      <c r="E66" s="151">
        <v>1</v>
      </c>
      <c r="F66" s="155" t="str">
        <f>_xlfn.XLOOKUP($B66,Data!$P:$P,Data!$Q:$Q,"")</f>
        <v/>
      </c>
      <c r="G66" s="155" t="str">
        <f t="shared" si="24"/>
        <v/>
      </c>
      <c r="H66" s="148" t="s">
        <v>21</v>
      </c>
      <c r="I66" s="119" t="str">
        <f>_xlfn.XLOOKUP(B66,Data!P:P,Data!O:O,"")</f>
        <v/>
      </c>
      <c r="J66" s="312" t="str">
        <f>_xlfn.XLOOKUP(B66,Data!P:P,Data!R:R,"")</f>
        <v/>
      </c>
      <c r="K66" s="118" t="str">
        <f>_xlfn.XLOOKUP(B66,Data!P:P,Data!S:S,"")</f>
        <v/>
      </c>
      <c r="L66" s="157"/>
      <c r="M66" s="119"/>
      <c r="O66" s="312"/>
      <c r="P66" s="312"/>
      <c r="R66" s="157"/>
      <c r="T66" s="168" t="str">
        <f t="shared" si="6"/>
        <v/>
      </c>
      <c r="U66" s="169" t="str">
        <f>IF($AE66="","",IF($H$139="USD",$AE66/(1+$AF66),IF($H$139='[1]Info I'!$G$3,$AE66/$R$12/(1+$AF66),"Error")))</f>
        <v/>
      </c>
      <c r="V66" s="170" t="str">
        <f>IF($AG66="","",IF($AH66="USD",$AG66,IF($AH66=Data!$AD$3,$AG66/$R$12,"Error")))</f>
        <v/>
      </c>
      <c r="W66" s="171" t="str">
        <f>IF($AI66="","",IF($AJ66="USD",$AI66,IF($AJ66='[1]Info I'!$G$3,$AI66/$R$12,"Error")))</f>
        <v/>
      </c>
      <c r="X66" s="169" t="str">
        <f t="shared" si="9"/>
        <v/>
      </c>
      <c r="Y66" s="332" t="str">
        <f t="shared" si="0"/>
        <v/>
      </c>
      <c r="Z66" s="351" t="str">
        <f>IF($AE66="","",IF($H$139="USD",$AE66/(1+$AF66),IF($H$139='[1]Info I'!$G$3,$AE66/$R$11/(1+$AF66),"Error")))</f>
        <v/>
      </c>
      <c r="AA66" s="352" t="str">
        <f>IF($AG66="","",IF($AH66="USD",$AG66,IF($AH66=Data!$AD$3,$AG66/$R$11,"Error")))</f>
        <v/>
      </c>
      <c r="AB66" s="353" t="str">
        <f>IF($AI66="","",IF($AJ66="USD",$AI66,IF($AJ66='[1]Info I'!$G$3,$AI66/$R$11,"Error")))</f>
        <v/>
      </c>
      <c r="AC66" s="354" t="str">
        <f t="shared" si="19"/>
        <v/>
      </c>
      <c r="AD66" s="355" t="str">
        <f t="shared" si="20"/>
        <v/>
      </c>
      <c r="AE66" s="172" t="str">
        <f t="shared" si="17"/>
        <v/>
      </c>
      <c r="AF66" s="173" t="str">
        <f>IFERROR(IF(T66="","",VLOOKUP(T66,Data!V:Z,4,FALSE)),"Error")</f>
        <v/>
      </c>
      <c r="AG66" s="172" t="str">
        <f t="shared" si="13"/>
        <v/>
      </c>
      <c r="AH66" s="174" t="str">
        <f t="shared" si="14"/>
        <v/>
      </c>
      <c r="AI66" s="172" t="str">
        <f t="shared" si="15"/>
        <v/>
      </c>
      <c r="AJ66" s="174" t="str">
        <f t="shared" si="16"/>
        <v/>
      </c>
    </row>
    <row r="67" spans="1:36" ht="18.75">
      <c r="A67" s="456"/>
      <c r="B67" s="451" t="str">
        <f>IF(Planner!I68&gt;4,"Extra Hour DJ","")</f>
        <v/>
      </c>
      <c r="C67" s="452"/>
      <c r="D67" s="148" t="str">
        <f>_xlfn.XLOOKUP(Invoice!B67,Data!$P:$P,Data!$N:$N,"")</f>
        <v/>
      </c>
      <c r="E67" s="152">
        <f>Planner!I68-4</f>
        <v>-4</v>
      </c>
      <c r="F67" s="155" t="str">
        <f>_xlfn.XLOOKUP($B67,Data!$P:$P,Data!$Q:$Q,"")</f>
        <v/>
      </c>
      <c r="G67" s="155" t="str">
        <f>IFERROR(E67*F67,"")</f>
        <v/>
      </c>
      <c r="H67" s="148" t="s">
        <v>21</v>
      </c>
      <c r="I67" s="119" t="str">
        <f>_xlfn.XLOOKUP(B67,Data!P:P,Data!O:O,"")</f>
        <v/>
      </c>
      <c r="J67" s="312" t="str">
        <f>_xlfn.XLOOKUP(B67,Data!P:P,Data!R:R,"")</f>
        <v/>
      </c>
      <c r="K67" s="118" t="str">
        <f>_xlfn.XLOOKUP(B67,Data!P:P,Data!S:S,"")</f>
        <v/>
      </c>
      <c r="L67" s="157"/>
      <c r="M67" s="119"/>
      <c r="O67" s="312"/>
      <c r="P67" s="312"/>
      <c r="R67" s="157"/>
      <c r="T67" s="168" t="str">
        <f t="shared" si="6"/>
        <v/>
      </c>
      <c r="U67" s="169" t="str">
        <f>IF($AE67="","",IF($H$139="USD",$AE67/(1+$AF67),IF($H$139='[1]Info I'!$G$3,$AE67/$R$12/(1+$AF67),"Error")))</f>
        <v/>
      </c>
      <c r="V67" s="170" t="str">
        <f>IF($AG67="","",IF($AH67="USD",$AG67,IF($AH67=Data!$AD$3,$AG67/$R$12,"Error")))</f>
        <v/>
      </c>
      <c r="W67" s="171" t="str">
        <f>IF($AI67="","",IF($AJ67="USD",$AI67,IF($AJ67='[1]Info I'!$G$3,$AI67/$R$12,"Error")))</f>
        <v/>
      </c>
      <c r="X67" s="169" t="str">
        <f t="shared" si="9"/>
        <v/>
      </c>
      <c r="Y67" s="332" t="str">
        <f t="shared" si="0"/>
        <v/>
      </c>
      <c r="Z67" s="351" t="str">
        <f>IF($AE67="","",IF($H$139="USD",$AE67/(1+$AF67),IF($H$139='[1]Info I'!$G$3,$AE67/$R$11/(1+$AF67),"Error")))</f>
        <v/>
      </c>
      <c r="AA67" s="352" t="str">
        <f>IF($AG67="","",IF($AH67="USD",$AG67,IF($AH67=Data!$AD$3,$AG67/$R$11,"Error")))</f>
        <v/>
      </c>
      <c r="AB67" s="353" t="str">
        <f>IF($AI67="","",IF($AJ67="USD",$AI67,IF($AJ67='[1]Info I'!$G$3,$AI67/$R$11,"Error")))</f>
        <v/>
      </c>
      <c r="AC67" s="354" t="str">
        <f t="shared" si="19"/>
        <v/>
      </c>
      <c r="AD67" s="355" t="str">
        <f t="shared" si="20"/>
        <v/>
      </c>
      <c r="AE67" s="172" t="str">
        <f t="shared" si="17"/>
        <v/>
      </c>
      <c r="AF67" s="173" t="str">
        <f>IFERROR(IF(T67="","",VLOOKUP(T67,Data!V:Z,4,FALSE)),"Error")</f>
        <v/>
      </c>
      <c r="AG67" s="172" t="str">
        <f t="shared" si="13"/>
        <v/>
      </c>
      <c r="AH67" s="174" t="str">
        <f t="shared" si="14"/>
        <v/>
      </c>
      <c r="AI67" s="172" t="str">
        <f t="shared" si="15"/>
        <v/>
      </c>
      <c r="AJ67" s="174" t="str">
        <f t="shared" si="16"/>
        <v/>
      </c>
    </row>
    <row r="68" spans="1:36" ht="18.75">
      <c r="A68" s="456"/>
      <c r="B68" s="451" t="str">
        <f>IF(Planner!F106="","","DJ Booth - "&amp;Planner!F106)</f>
        <v/>
      </c>
      <c r="C68" s="452"/>
      <c r="D68" s="148" t="str">
        <f>_xlfn.XLOOKUP(Planner!F106,Data!$P:$P,Data!$N:$N,"")</f>
        <v/>
      </c>
      <c r="E68" s="151">
        <v>1</v>
      </c>
      <c r="F68" s="155">
        <f>_xlfn.XLOOKUP(Planner!F106,Data!$P:$P,Data!$Q:$Q,"")</f>
        <v>0</v>
      </c>
      <c r="G68" s="155">
        <f t="shared" si="24"/>
        <v>0</v>
      </c>
      <c r="H68" s="148" t="s">
        <v>21</v>
      </c>
      <c r="I68" s="119" t="str">
        <f>_xlfn.XLOOKUP(B68,Data!P:P,Data!O:O,"")</f>
        <v/>
      </c>
      <c r="J68" s="312" t="str">
        <f>_xlfn.XLOOKUP(B68,Data!P:P,Data!R:R,"")</f>
        <v/>
      </c>
      <c r="K68" s="118" t="str">
        <f>_xlfn.XLOOKUP(B68,Data!P:P,Data!S:S,"")</f>
        <v/>
      </c>
      <c r="L68" s="157"/>
      <c r="M68" s="119"/>
      <c r="O68" s="312"/>
      <c r="P68" s="312"/>
      <c r="R68" s="157"/>
      <c r="T68" s="168" t="str">
        <f t="shared" si="6"/>
        <v/>
      </c>
      <c r="U68" s="169" t="str">
        <f>IF($AE68="","",IF($H$139="USD",$AE68/(1+$AF68),IF($H$139='[1]Info I'!$G$3,$AE68/$R$12/(1+$AF68),"Error")))</f>
        <v/>
      </c>
      <c r="V68" s="170" t="str">
        <f>IF($AG68="","",IF($AH68="USD",$AG68,IF($AH68=Data!$AD$3,$AG68/$R$12,"Error")))</f>
        <v/>
      </c>
      <c r="W68" s="171" t="str">
        <f>IF($AI68="","",IF($AJ68="USD",$AI68,IF($AJ68='[1]Info I'!$G$3,$AI68/$R$12,"Error")))</f>
        <v/>
      </c>
      <c r="X68" s="169" t="str">
        <f t="shared" si="9"/>
        <v/>
      </c>
      <c r="Y68" s="332" t="str">
        <f t="shared" si="0"/>
        <v/>
      </c>
      <c r="Z68" s="351" t="str">
        <f>IF($AE68="","",IF($H$139="USD",$AE68/(1+$AF68),IF($H$139='[1]Info I'!$G$3,$AE68/$R$11/(1+$AF68),"Error")))</f>
        <v/>
      </c>
      <c r="AA68" s="352" t="str">
        <f>IF($AG68="","",IF($AH68="USD",$AG68,IF($AH68=Data!$AD$3,$AG68/$R$11,"Error")))</f>
        <v/>
      </c>
      <c r="AB68" s="353" t="str">
        <f>IF($AI68="","",IF($AJ68="USD",$AI68,IF($AJ68='[1]Info I'!$G$3,$AI68/$R$11,"Error")))</f>
        <v/>
      </c>
      <c r="AC68" s="354" t="str">
        <f t="shared" si="19"/>
        <v/>
      </c>
      <c r="AD68" s="355" t="str">
        <f t="shared" si="20"/>
        <v/>
      </c>
      <c r="AE68" s="172" t="str">
        <f t="shared" si="17"/>
        <v/>
      </c>
      <c r="AF68" s="173" t="str">
        <f>IFERROR(IF(T68="","",VLOOKUP(T68,Data!V:Z,4,FALSE)),"Error")</f>
        <v/>
      </c>
      <c r="AG68" s="172" t="str">
        <f t="shared" si="13"/>
        <v/>
      </c>
      <c r="AH68" s="174" t="str">
        <f t="shared" si="14"/>
        <v/>
      </c>
      <c r="AI68" s="172" t="str">
        <f t="shared" si="15"/>
        <v/>
      </c>
      <c r="AJ68" s="174" t="str">
        <f t="shared" si="16"/>
        <v/>
      </c>
    </row>
    <row r="69" spans="1:36" ht="18.75">
      <c r="A69" s="456"/>
      <c r="B69" s="451" t="str">
        <f>IF(Planner!H106="","",Planner!H106)</f>
        <v/>
      </c>
      <c r="C69" s="452"/>
      <c r="D69" s="148" t="str">
        <f>_xlfn.XLOOKUP(Invoice!B69,Data!$P:$P,Data!$N:$N,"")</f>
        <v/>
      </c>
      <c r="E69" s="151">
        <v>1</v>
      </c>
      <c r="F69" s="155" t="str">
        <f>_xlfn.XLOOKUP($B69,Data!$P:$P,Data!$Q:$Q,"")</f>
        <v/>
      </c>
      <c r="G69" s="155" t="str">
        <f t="shared" si="24"/>
        <v/>
      </c>
      <c r="H69" s="148" t="s">
        <v>21</v>
      </c>
      <c r="I69" s="119" t="str">
        <f>_xlfn.XLOOKUP(B69,Data!P:P,Data!O:O,"")</f>
        <v/>
      </c>
      <c r="J69" s="312" t="str">
        <f>_xlfn.XLOOKUP(B69,Data!P:P,Data!R:R,"")</f>
        <v/>
      </c>
      <c r="K69" s="118" t="str">
        <f>_xlfn.XLOOKUP(B69,Data!P:P,Data!S:S,"")</f>
        <v/>
      </c>
      <c r="L69" s="157"/>
      <c r="M69" s="119"/>
      <c r="O69" s="312"/>
      <c r="P69" s="312"/>
      <c r="R69" s="157"/>
      <c r="T69" s="168" t="str">
        <f t="shared" si="6"/>
        <v/>
      </c>
      <c r="U69" s="169" t="str">
        <f>IF($AE69="","",IF($H$139="USD",$AE69/(1+$AF69),IF($H$139='[1]Info I'!$G$3,$AE69/$R$12/(1+$AF69),"Error")))</f>
        <v/>
      </c>
      <c r="V69" s="170" t="str">
        <f>IF($AG69="","",IF($AH69="USD",$AG69,IF($AH69=Data!$AD$3,$AG69/$R$12,"Error")))</f>
        <v/>
      </c>
      <c r="W69" s="171" t="str">
        <f>IF($AI69="","",IF($AJ69="USD",$AI69,IF($AJ69='[1]Info I'!$G$3,$AI69/$R$12,"Error")))</f>
        <v/>
      </c>
      <c r="X69" s="169" t="str">
        <f t="shared" si="9"/>
        <v/>
      </c>
      <c r="Y69" s="332" t="str">
        <f t="shared" si="0"/>
        <v/>
      </c>
      <c r="Z69" s="351" t="str">
        <f>IF($AE69="","",IF($H$139="USD",$AE69/(1+$AF69),IF($H$139='[1]Info I'!$G$3,$AE69/$R$11/(1+$AF69),"Error")))</f>
        <v/>
      </c>
      <c r="AA69" s="352" t="str">
        <f>IF($AG69="","",IF($AH69="USD",$AG69,IF($AH69=Data!$AD$3,$AG69/$R$11,"Error")))</f>
        <v/>
      </c>
      <c r="AB69" s="353" t="str">
        <f>IF($AI69="","",IF($AJ69="USD",$AI69,IF($AJ69='[1]Info I'!$G$3,$AI69/$R$11,"Error")))</f>
        <v/>
      </c>
      <c r="AC69" s="354" t="str">
        <f t="shared" si="19"/>
        <v/>
      </c>
      <c r="AD69" s="355" t="str">
        <f t="shared" si="20"/>
        <v/>
      </c>
      <c r="AE69" s="172" t="str">
        <f t="shared" si="17"/>
        <v/>
      </c>
      <c r="AF69" s="173" t="str">
        <f>IFERROR(IF(T69="","",VLOOKUP(T69,Data!V:Z,4,FALSE)),"Error")</f>
        <v/>
      </c>
      <c r="AG69" s="172" t="str">
        <f t="shared" si="13"/>
        <v/>
      </c>
      <c r="AH69" s="174" t="str">
        <f t="shared" si="14"/>
        <v/>
      </c>
      <c r="AI69" s="172" t="str">
        <f t="shared" si="15"/>
        <v/>
      </c>
      <c r="AJ69" s="174" t="str">
        <f t="shared" si="16"/>
        <v/>
      </c>
    </row>
    <row r="70" spans="1:36" ht="18.75">
      <c r="A70" s="456"/>
      <c r="B70" s="451" t="str">
        <f>IF(Planner!C107="","","Dance Floor - "&amp;Planner!C107)</f>
        <v/>
      </c>
      <c r="C70" s="452"/>
      <c r="D70" s="148" t="str">
        <f>_xlfn.XLOOKUP(Planner!C107,Data!$P:$P,Data!$N:$N,"")</f>
        <v/>
      </c>
      <c r="E70" s="151">
        <v>1</v>
      </c>
      <c r="F70" s="155">
        <f>_xlfn.XLOOKUP(Planner!C107,Data!$P:$P,Data!$Q:$Q,"")</f>
        <v>0</v>
      </c>
      <c r="G70" s="155">
        <f t="shared" si="24"/>
        <v>0</v>
      </c>
      <c r="H70" s="148" t="s">
        <v>21</v>
      </c>
      <c r="I70" s="119">
        <f>_xlfn.XLOOKUP(Planner!C107,Data!P:P,Data!O:O,"")</f>
        <v>0</v>
      </c>
      <c r="J70" s="312">
        <f>_xlfn.XLOOKUP(Planner!C107,Data!P:P,Data!R:R,"")</f>
        <v>0</v>
      </c>
      <c r="K70" s="118" t="str">
        <f>_xlfn.XLOOKUP(Planner!C107,Data!P:P,Data!S:S,"")</f>
        <v>MXN</v>
      </c>
      <c r="L70" s="157"/>
      <c r="M70" s="119"/>
      <c r="O70" s="312"/>
      <c r="P70" s="312"/>
      <c r="R70" s="157"/>
      <c r="T70" s="168" t="str">
        <f t="shared" si="6"/>
        <v/>
      </c>
      <c r="U70" s="169" t="str">
        <f>IF($AE70="","",IF($H$139="USD",$AE70/(1+$AF70),IF($H$139='[1]Info I'!$G$3,$AE70/$R$12/(1+$AF70),"Error")))</f>
        <v/>
      </c>
      <c r="V70" s="170">
        <f>IF($AG70="","",IF($AH70="USD",$AG70,IF($AH70=Data!$AD$3,$AG70/$R$12,"Error")))</f>
        <v>0</v>
      </c>
      <c r="W70" s="171" t="str">
        <f>IF($AI70="","",IF($AJ70="USD",$AI70,IF($AJ70='[1]Info I'!$G$3,$AI70/$R$12,"Error")))</f>
        <v/>
      </c>
      <c r="X70" s="169" t="str">
        <f t="shared" si="9"/>
        <v/>
      </c>
      <c r="Y70" s="332" t="str">
        <f t="shared" si="0"/>
        <v/>
      </c>
      <c r="Z70" s="351" t="str">
        <f>IF($AE70="","",IF($H$139="USD",$AE70/(1+$AF70),IF($H$139='[1]Info I'!$G$3,$AE70/$R$11/(1+$AF70),"Error")))</f>
        <v/>
      </c>
      <c r="AA70" s="352">
        <f>IF($AG70="","",IF($AH70="USD",$AG70,IF($AH70=Data!$AD$3,$AG70/$R$11,"Error")))</f>
        <v>0</v>
      </c>
      <c r="AB70" s="353" t="str">
        <f>IF($AI70="","",IF($AJ70="USD",$AI70,IF($AJ70='[1]Info I'!$G$3,$AI70/$R$11,"Error")))</f>
        <v/>
      </c>
      <c r="AC70" s="354" t="str">
        <f t="shared" si="19"/>
        <v/>
      </c>
      <c r="AD70" s="355" t="str">
        <f t="shared" si="20"/>
        <v/>
      </c>
      <c r="AE70" s="172" t="str">
        <f t="shared" si="17"/>
        <v/>
      </c>
      <c r="AF70" s="173" t="str">
        <f>IFERROR(IF(T70="","",VLOOKUP(T70,Data!V:Z,4,FALSE)),"Error")</f>
        <v/>
      </c>
      <c r="AG70" s="172">
        <f t="shared" si="13"/>
        <v>0</v>
      </c>
      <c r="AH70" s="174" t="str">
        <f t="shared" si="14"/>
        <v>MXN</v>
      </c>
      <c r="AI70" s="172" t="str">
        <f t="shared" si="15"/>
        <v/>
      </c>
      <c r="AJ70" s="174" t="str">
        <f t="shared" si="16"/>
        <v/>
      </c>
    </row>
    <row r="71" spans="1:36" ht="18.75">
      <c r="A71" s="456"/>
      <c r="B71" s="451" t="str">
        <f>IF(Planner!G107="","","Bistro - "&amp;Planner!G107)</f>
        <v/>
      </c>
      <c r="C71" s="452"/>
      <c r="D71" s="148" t="str">
        <f>IF(B71="","",_xlfn.XLOOKUP(Planner!$G$107,Data!$P:$P,Data!$N:$N,""))</f>
        <v/>
      </c>
      <c r="E71" s="151">
        <v>1</v>
      </c>
      <c r="F71" s="155">
        <f>_xlfn.XLOOKUP(Planner!$G$107,Data!$P:$P,Data!$Q:$Q,"")</f>
        <v>0</v>
      </c>
      <c r="G71" s="155">
        <f t="shared" si="24"/>
        <v>0</v>
      </c>
      <c r="H71" s="148" t="s">
        <v>21</v>
      </c>
      <c r="I71" s="119">
        <f>_xlfn.XLOOKUP(Planner!G107,Data!P:P,Data!O:O,"")</f>
        <v>0</v>
      </c>
      <c r="J71" s="312">
        <f>_xlfn.XLOOKUP(Planner!G107,Data!P:P,Data!R:R,"")</f>
        <v>0</v>
      </c>
      <c r="K71" s="118" t="str">
        <f>_xlfn.XLOOKUP(Planner!G107,Data!P:P,Data!S:S,"")</f>
        <v>MXN</v>
      </c>
      <c r="L71" s="157"/>
      <c r="M71" s="119"/>
      <c r="O71" s="312"/>
      <c r="P71" s="312"/>
      <c r="R71" s="157"/>
      <c r="T71" s="168" t="str">
        <f t="shared" si="6"/>
        <v/>
      </c>
      <c r="U71" s="169" t="str">
        <f>IF($AE71="","",IF($H$139="USD",$AE71/(1+$AF71),IF($H$139='[1]Info I'!$G$3,$AE71/$R$12/(1+$AF71),"Error")))</f>
        <v/>
      </c>
      <c r="V71" s="170">
        <f>IF($AG71="","",IF($AH71="USD",$AG71,IF($AH71=Data!$AD$3,$AG71/$R$12,"Error")))</f>
        <v>0</v>
      </c>
      <c r="W71" s="171" t="str">
        <f>IF($AI71="","",IF($AJ71="USD",$AI71,IF($AJ71='[1]Info I'!$G$3,$AI71/$R$12,"Error")))</f>
        <v/>
      </c>
      <c r="X71" s="169" t="str">
        <f t="shared" si="9"/>
        <v/>
      </c>
      <c r="Y71" s="332" t="str">
        <f t="shared" si="0"/>
        <v/>
      </c>
      <c r="Z71" s="351" t="str">
        <f>IF($AE71="","",IF($H$139="USD",$AE71/(1+$AF71),IF($H$139='[1]Info I'!$G$3,$AE71/$R$11/(1+$AF71),"Error")))</f>
        <v/>
      </c>
      <c r="AA71" s="352">
        <f>IF($AG71="","",IF($AH71="USD",$AG71,IF($AH71=Data!$AD$3,$AG71/$R$11,"Error")))</f>
        <v>0</v>
      </c>
      <c r="AB71" s="353" t="str">
        <f>IF($AI71="","",IF($AJ71="USD",$AI71,IF($AJ71='[1]Info I'!$G$3,$AI71/$R$11,"Error")))</f>
        <v/>
      </c>
      <c r="AC71" s="354" t="str">
        <f t="shared" si="19"/>
        <v/>
      </c>
      <c r="AD71" s="355" t="str">
        <f t="shared" si="20"/>
        <v/>
      </c>
      <c r="AE71" s="172" t="str">
        <f t="shared" si="17"/>
        <v/>
      </c>
      <c r="AF71" s="173" t="str">
        <f>IFERROR(IF(T71="","",VLOOKUP(T71,Data!V:Z,4,FALSE)),"Error")</f>
        <v/>
      </c>
      <c r="AG71" s="172">
        <f t="shared" si="13"/>
        <v>0</v>
      </c>
      <c r="AH71" s="174" t="str">
        <f t="shared" si="14"/>
        <v>MXN</v>
      </c>
      <c r="AI71" s="172" t="str">
        <f t="shared" si="15"/>
        <v/>
      </c>
      <c r="AJ71" s="174" t="str">
        <f t="shared" si="16"/>
        <v/>
      </c>
    </row>
    <row r="72" spans="1:36" ht="18.75">
      <c r="A72" s="456"/>
      <c r="B72" s="451">
        <f>Planner!G108</f>
        <v>0</v>
      </c>
      <c r="C72" s="452"/>
      <c r="D72" s="148" t="str">
        <f>_xlfn.XLOOKUP(Invoice!$B$72,Data!$P:$P,Data!$N:$N,"")</f>
        <v/>
      </c>
      <c r="E72" s="151">
        <v>1</v>
      </c>
      <c r="F72" s="155" t="str">
        <f>_xlfn.XLOOKUP(Invoice!$B$72,Data!$P:$P,Data!$Q:$Q,"")</f>
        <v/>
      </c>
      <c r="G72" s="155" t="str">
        <f t="shared" si="24"/>
        <v/>
      </c>
      <c r="H72" s="148" t="s">
        <v>21</v>
      </c>
      <c r="I72" s="119" t="str">
        <f>_xlfn.XLOOKUP(B72,Data!P:P,Data!O:O,"")</f>
        <v/>
      </c>
      <c r="J72" s="312" t="str">
        <f>_xlfn.XLOOKUP(B72,Data!P:P,Data!R:R,"")</f>
        <v/>
      </c>
      <c r="K72" s="118" t="str">
        <f>_xlfn.XLOOKUP(B72,Data!P:P,Data!S:S,"")</f>
        <v/>
      </c>
      <c r="L72" s="157"/>
      <c r="M72" s="119"/>
      <c r="O72" s="312"/>
      <c r="P72" s="312"/>
      <c r="R72" s="157"/>
      <c r="T72" s="168" t="str">
        <f t="shared" si="6"/>
        <v/>
      </c>
      <c r="U72" s="169" t="str">
        <f>IF($AE72="","",IF($H$139="USD",$AE72/(1+$AF72),IF($H$139='[1]Info I'!$G$3,$AE72/$R$12/(1+$AF72),"Error")))</f>
        <v/>
      </c>
      <c r="V72" s="170" t="str">
        <f>IF($AG72="","",IF($AH72="USD",$AG72,IF($AH72=Data!$AD$3,$AG72/$R$12,"Error")))</f>
        <v/>
      </c>
      <c r="W72" s="171" t="str">
        <f>IF($AI72="","",IF($AJ72="USD",$AI72,IF($AJ72='[1]Info I'!$G$3,$AI72/$R$12,"Error")))</f>
        <v/>
      </c>
      <c r="X72" s="169" t="str">
        <f t="shared" si="9"/>
        <v/>
      </c>
      <c r="Y72" s="332" t="str">
        <f t="shared" si="0"/>
        <v/>
      </c>
      <c r="Z72" s="351" t="str">
        <f>IF($AE72="","",IF($H$139="USD",$AE72/(1+$AF72),IF($H$139='[1]Info I'!$G$3,$AE72/$R$11/(1+$AF72),"Error")))</f>
        <v/>
      </c>
      <c r="AA72" s="352" t="str">
        <f>IF($AG72="","",IF($AH72="USD",$AG72,IF($AH72=Data!$AD$3,$AG72/$R$11,"Error")))</f>
        <v/>
      </c>
      <c r="AB72" s="353" t="str">
        <f>IF($AI72="","",IF($AJ72="USD",$AI72,IF($AJ72='[1]Info I'!$G$3,$AI72/$R$11,"Error")))</f>
        <v/>
      </c>
      <c r="AC72" s="354" t="str">
        <f t="shared" si="19"/>
        <v/>
      </c>
      <c r="AD72" s="355" t="str">
        <f t="shared" si="20"/>
        <v/>
      </c>
      <c r="AE72" s="172" t="str">
        <f t="shared" si="17"/>
        <v/>
      </c>
      <c r="AF72" s="173" t="str">
        <f>IFERROR(IF(T72="","",VLOOKUP(T72,Data!V:Z,4,FALSE)),"Error")</f>
        <v/>
      </c>
      <c r="AG72" s="172" t="str">
        <f t="shared" si="13"/>
        <v/>
      </c>
      <c r="AH72" s="174" t="str">
        <f t="shared" si="14"/>
        <v/>
      </c>
      <c r="AI72" s="172" t="str">
        <f t="shared" si="15"/>
        <v/>
      </c>
      <c r="AJ72" s="174" t="str">
        <f t="shared" si="16"/>
        <v/>
      </c>
    </row>
    <row r="73" spans="1:36" ht="18.75">
      <c r="A73" s="456"/>
      <c r="B73" s="451">
        <f>Planner!F111</f>
        <v>0</v>
      </c>
      <c r="C73" s="452"/>
      <c r="D73" s="148" t="str">
        <f>_xlfn.XLOOKUP(Invoice!B73,Data!$P:$P,Data!$N:$N,"")</f>
        <v/>
      </c>
      <c r="E73" s="151">
        <v>1</v>
      </c>
      <c r="F73" s="155" t="str">
        <f>_xlfn.XLOOKUP($B73,Data!$P:$P,Data!$Q:$Q,"")</f>
        <v/>
      </c>
      <c r="G73" s="155" t="str">
        <f>IFERROR(E73*F73,"")</f>
        <v/>
      </c>
      <c r="H73" s="148" t="s">
        <v>21</v>
      </c>
      <c r="I73" s="119" t="str">
        <f>_xlfn.XLOOKUP(B73,Data!P:P,Data!O:O,"")</f>
        <v/>
      </c>
      <c r="J73" s="312" t="str">
        <f>_xlfn.XLOOKUP(B73,Data!P:P,Data!R:R,"")</f>
        <v/>
      </c>
      <c r="K73" s="118" t="str">
        <f>_xlfn.XLOOKUP(B73,Data!P:P,Data!S:S,"")</f>
        <v/>
      </c>
      <c r="L73" s="157"/>
      <c r="M73" s="119"/>
      <c r="O73" s="312"/>
      <c r="P73" s="312"/>
      <c r="R73" s="157"/>
      <c r="T73" s="168" t="str">
        <f t="shared" si="6"/>
        <v/>
      </c>
      <c r="U73" s="169" t="str">
        <f>IF($AE73="","",IF($H$139="USD",$AE73/(1+$AF73),IF($H$139='[1]Info I'!$G$3,$AE73/$R$12/(1+$AF73),"Error")))</f>
        <v/>
      </c>
      <c r="V73" s="170" t="str">
        <f>IF($AG73="","",IF($AH73="USD",$AG73,IF($AH73=Data!$AD$3,$AG73/$R$12,"Error")))</f>
        <v/>
      </c>
      <c r="W73" s="171" t="str">
        <f>IF($AI73="","",IF($AJ73="USD",$AI73,IF($AJ73='[1]Info I'!$G$3,$AI73/$R$12,"Error")))</f>
        <v/>
      </c>
      <c r="X73" s="169" t="str">
        <f>IFERROR(IF(+IF(V73="",0,V73)+IF(W73="",0,W73)=0,"",+IF(V73="",0,V73)+IF(W73="",0,W73)),"Error")</f>
        <v/>
      </c>
      <c r="Y73" s="332" t="str">
        <f>IFERROR(+(U73-X73)/U73,"")</f>
        <v/>
      </c>
      <c r="Z73" s="351" t="str">
        <f>IF($AE73="","",IF($H$139="USD",$AE73/(1+$AF73),IF($H$139='[1]Info I'!$G$3,$AE73/$R$11/(1+$AF73),"Error")))</f>
        <v/>
      </c>
      <c r="AA73" s="352" t="str">
        <f>IF($AG73="","",IF($AH73="USD",$AG73,IF($AH73=Data!$AD$3,$AG73/$R$11,"Error")))</f>
        <v/>
      </c>
      <c r="AB73" s="353" t="str">
        <f>IF($AI73="","",IF($AJ73="USD",$AI73,IF($AJ73='[1]Info I'!$G$3,$AI73/$R$11,"Error")))</f>
        <v/>
      </c>
      <c r="AC73" s="354" t="str">
        <f t="shared" si="19"/>
        <v/>
      </c>
      <c r="AD73" s="355" t="str">
        <f t="shared" si="20"/>
        <v/>
      </c>
      <c r="AE73" s="172" t="str">
        <f t="shared" si="17"/>
        <v/>
      </c>
      <c r="AF73" s="173" t="str">
        <f>IFERROR(IF(T73="","",VLOOKUP(T73,Data!V:Z,4,FALSE)),"Error")</f>
        <v/>
      </c>
      <c r="AG73" s="172" t="str">
        <f t="shared" si="13"/>
        <v/>
      </c>
      <c r="AH73" s="174" t="str">
        <f t="shared" si="14"/>
        <v/>
      </c>
      <c r="AI73" s="172" t="str">
        <f t="shared" si="15"/>
        <v/>
      </c>
      <c r="AJ73" s="174" t="str">
        <f t="shared" si="16"/>
        <v/>
      </c>
    </row>
    <row r="74" spans="1:36" ht="18.75">
      <c r="A74" s="519"/>
      <c r="B74" s="451">
        <f>Planner!C108</f>
        <v>0</v>
      </c>
      <c r="C74" s="452"/>
      <c r="D74" s="148" t="str">
        <f>_xlfn.XLOOKUP(Invoice!B74,Data!$P:$P,Data!$N:$N,"")</f>
        <v/>
      </c>
      <c r="E74" s="151">
        <v>1</v>
      </c>
      <c r="F74" s="155" t="str">
        <f>_xlfn.XLOOKUP($B74,Data!$P:$P,Data!$Q:$Q,"")</f>
        <v/>
      </c>
      <c r="G74" s="155" t="str">
        <f t="shared" si="24"/>
        <v/>
      </c>
      <c r="H74" s="148" t="s">
        <v>21</v>
      </c>
      <c r="I74" s="119" t="str">
        <f>_xlfn.XLOOKUP(B74,Data!P:P,Data!O:O,"")</f>
        <v/>
      </c>
      <c r="J74" s="312" t="str">
        <f>_xlfn.XLOOKUP(B74,Data!P:P,Data!R:R,"")</f>
        <v/>
      </c>
      <c r="K74" s="118" t="str">
        <f>_xlfn.XLOOKUP(B74,Data!P:P,Data!S:S,"")</f>
        <v/>
      </c>
      <c r="L74" s="157"/>
      <c r="M74" s="119"/>
      <c r="O74" s="312"/>
      <c r="P74" s="312"/>
      <c r="R74" s="157"/>
      <c r="T74" s="168" t="str">
        <f t="shared" si="6"/>
        <v/>
      </c>
      <c r="U74" s="169" t="str">
        <f>IF($AE74="","",IF($H$139="USD",$AE74/(1+$AF74),IF($H$139='[1]Info I'!$G$3,$AE74/$R$12/(1+$AF74),"Error")))</f>
        <v/>
      </c>
      <c r="V74" s="170" t="str">
        <f>IF($AG74="","",IF($AH74="USD",$AG74,IF($AH74=Data!$AD$3,$AG74/$R$12,"Error")))</f>
        <v/>
      </c>
      <c r="W74" s="171" t="str">
        <f>IF($AI74="","",IF($AJ74="USD",$AI74,IF($AJ74='[1]Info I'!$G$3,$AI74/$R$12,"Error")))</f>
        <v/>
      </c>
      <c r="X74" s="169" t="str">
        <f t="shared" si="9"/>
        <v/>
      </c>
      <c r="Y74" s="332" t="str">
        <f t="shared" si="0"/>
        <v/>
      </c>
      <c r="Z74" s="351" t="str">
        <f>IF($AE74="","",IF($H$139="USD",$AE74/(1+$AF74),IF($H$139='[1]Info I'!$G$3,$AE74/$R$11/(1+$AF74),"Error")))</f>
        <v/>
      </c>
      <c r="AA74" s="352" t="str">
        <f>IF($AG74="","",IF($AH74="USD",$AG74,IF($AH74=Data!$AD$3,$AG74/$R$11,"Error")))</f>
        <v/>
      </c>
      <c r="AB74" s="353" t="str">
        <f>IF($AI74="","",IF($AJ74="USD",$AI74,IF($AJ74='[1]Info I'!$G$3,$AI74/$R$11,"Error")))</f>
        <v/>
      </c>
      <c r="AC74" s="354" t="str">
        <f t="shared" si="19"/>
        <v/>
      </c>
      <c r="AD74" s="355" t="str">
        <f t="shared" si="20"/>
        <v/>
      </c>
      <c r="AE74" s="172" t="str">
        <f t="shared" si="17"/>
        <v/>
      </c>
      <c r="AF74" s="173" t="str">
        <f>IFERROR(IF(T74="","",VLOOKUP(T74,Data!V:Z,4,FALSE)),"Error")</f>
        <v/>
      </c>
      <c r="AG74" s="172" t="str">
        <f t="shared" si="13"/>
        <v/>
      </c>
      <c r="AH74" s="174" t="str">
        <f t="shared" si="14"/>
        <v/>
      </c>
      <c r="AI74" s="172" t="str">
        <f t="shared" si="15"/>
        <v/>
      </c>
      <c r="AJ74" s="174" t="str">
        <f t="shared" si="16"/>
        <v/>
      </c>
    </row>
    <row r="75" spans="1:36" ht="18.75">
      <c r="A75" s="455" t="s">
        <v>355</v>
      </c>
      <c r="B75" s="451">
        <f>Planner!C111</f>
        <v>0</v>
      </c>
      <c r="C75" s="452"/>
      <c r="D75" s="148" t="str">
        <f>_xlfn.XLOOKUP(Invoice!B75,Data!$P:$P,Data!$N:$N,"")</f>
        <v/>
      </c>
      <c r="E75" s="151">
        <v>1</v>
      </c>
      <c r="F75" s="155" t="str">
        <f>_xlfn.XLOOKUP($B75,Data!$P:$P,Data!$Q:$Q,"")</f>
        <v/>
      </c>
      <c r="G75" s="155" t="str">
        <f t="shared" si="24"/>
        <v/>
      </c>
      <c r="H75" s="148" t="s">
        <v>21</v>
      </c>
      <c r="I75" s="119" t="str">
        <f>_xlfn.XLOOKUP(B75,Data!P:P,Data!O:O,"")</f>
        <v/>
      </c>
      <c r="J75" s="312" t="str">
        <f>_xlfn.XLOOKUP(B75,Data!P:P,Data!R:R,"")</f>
        <v/>
      </c>
      <c r="K75" s="118" t="str">
        <f>_xlfn.XLOOKUP(B75,Data!P:P,Data!S:S,"")</f>
        <v/>
      </c>
      <c r="L75" s="157"/>
      <c r="M75" s="119"/>
      <c r="O75" s="312"/>
      <c r="P75" s="312"/>
      <c r="R75" s="157"/>
      <c r="T75" s="168" t="str">
        <f t="shared" si="6"/>
        <v/>
      </c>
      <c r="U75" s="169" t="str">
        <f>IF($AE75="","",IF($H$139="USD",$AE75/(1+$AF75),IF($H$139='[1]Info I'!$G$3,$AE75/$R$12/(1+$AF75),"Error")))</f>
        <v/>
      </c>
      <c r="V75" s="170" t="str">
        <f>IF($AG75="","",IF($AH75="USD",$AG75,IF($AH75=Data!$AD$3,$AG75/$R$12,"Error")))</f>
        <v/>
      </c>
      <c r="W75" s="171" t="str">
        <f>IF($AI75="","",IF($AJ75="USD",$AI75,IF($AJ75='[1]Info I'!$G$3,$AI75/$R$12,"Error")))</f>
        <v/>
      </c>
      <c r="X75" s="169" t="str">
        <f t="shared" si="9"/>
        <v/>
      </c>
      <c r="Y75" s="332" t="str">
        <f t="shared" si="0"/>
        <v/>
      </c>
      <c r="Z75" s="351" t="str">
        <f>IF($AE75="","",IF($H$139="USD",$AE75/(1+$AF75),IF($H$139='[1]Info I'!$G$3,$AE75/$R$11/(1+$AF75),"Error")))</f>
        <v/>
      </c>
      <c r="AA75" s="352" t="str">
        <f>IF($AG75="","",IF($AH75="USD",$AG75,IF($AH75=Data!$AD$3,$AG75/$R$11,"Error")))</f>
        <v/>
      </c>
      <c r="AB75" s="353" t="str">
        <f>IF($AI75="","",IF($AJ75="USD",$AI75,IF($AJ75='[1]Info I'!$G$3,$AI75/$R$11,"Error")))</f>
        <v/>
      </c>
      <c r="AC75" s="354" t="str">
        <f t="shared" si="19"/>
        <v/>
      </c>
      <c r="AD75" s="355" t="str">
        <f t="shared" si="20"/>
        <v/>
      </c>
      <c r="AE75" s="172" t="str">
        <f t="shared" si="17"/>
        <v/>
      </c>
      <c r="AF75" s="173" t="str">
        <f>IFERROR(IF(T75="","",VLOOKUP(T75,Data!V:Z,4,FALSE)),"Error")</f>
        <v/>
      </c>
      <c r="AG75" s="172" t="str">
        <f t="shared" si="13"/>
        <v/>
      </c>
      <c r="AH75" s="174" t="str">
        <f t="shared" si="14"/>
        <v/>
      </c>
      <c r="AI75" s="172" t="str">
        <f t="shared" si="15"/>
        <v/>
      </c>
      <c r="AJ75" s="174" t="str">
        <f t="shared" si="16"/>
        <v/>
      </c>
    </row>
    <row r="76" spans="1:36" ht="18.75">
      <c r="A76" s="456"/>
      <c r="B76" s="451">
        <f>Planner!C112</f>
        <v>0</v>
      </c>
      <c r="C76" s="452"/>
      <c r="D76" s="148" t="str">
        <f>_xlfn.XLOOKUP(Invoice!B76,Data!$P:$P,Data!$N:$N,"")</f>
        <v/>
      </c>
      <c r="E76" s="151">
        <v>1</v>
      </c>
      <c r="F76" s="155" t="str">
        <f>_xlfn.XLOOKUP($B76,Data!$P:$P,Data!$Q:$Q,"")</f>
        <v/>
      </c>
      <c r="G76" s="155" t="str">
        <f t="shared" si="24"/>
        <v/>
      </c>
      <c r="H76" s="148" t="s">
        <v>21</v>
      </c>
      <c r="I76" s="119" t="str">
        <f>_xlfn.XLOOKUP(B76,Data!P:P,Data!O:O,"")</f>
        <v/>
      </c>
      <c r="J76" s="312" t="str">
        <f>_xlfn.XLOOKUP(B76,Data!P:P,Data!R:R,"")</f>
        <v/>
      </c>
      <c r="K76" s="118" t="str">
        <f>_xlfn.XLOOKUP(B76,Data!P:P,Data!S:S,"")</f>
        <v/>
      </c>
      <c r="L76" s="157"/>
      <c r="M76" s="119"/>
      <c r="O76" s="312"/>
      <c r="P76" s="312"/>
      <c r="R76" s="157"/>
      <c r="T76" s="168" t="str">
        <f t="shared" si="6"/>
        <v/>
      </c>
      <c r="U76" s="169" t="str">
        <f>IF($AE76="","",IF($H$139="USD",$AE76/(1+$AF76),IF($H$139='[1]Info I'!$G$3,$AE76/$R$12/(1+$AF76),"Error")))</f>
        <v/>
      </c>
      <c r="V76" s="170" t="str">
        <f>IF($AG76="","",IF($AH76="USD",$AG76,IF($AH76=Data!$AD$3,$AG76/$R$12,"Error")))</f>
        <v/>
      </c>
      <c r="W76" s="171" t="str">
        <f>IF($AI76="","",IF($AJ76="USD",$AI76,IF($AJ76='[1]Info I'!$G$3,$AI76/$R$12,"Error")))</f>
        <v/>
      </c>
      <c r="X76" s="169" t="str">
        <f t="shared" si="9"/>
        <v/>
      </c>
      <c r="Y76" s="332" t="str">
        <f t="shared" si="0"/>
        <v/>
      </c>
      <c r="Z76" s="351" t="str">
        <f>IF($AE76="","",IF($H$139="USD",$AE76/(1+$AF76),IF($H$139='[1]Info I'!$G$3,$AE76/$R$11/(1+$AF76),"Error")))</f>
        <v/>
      </c>
      <c r="AA76" s="352" t="str">
        <f>IF($AG76="","",IF($AH76="USD",$AG76,IF($AH76=Data!$AD$3,$AG76/$R$11,"Error")))</f>
        <v/>
      </c>
      <c r="AB76" s="353" t="str">
        <f>IF($AI76="","",IF($AJ76="USD",$AI76,IF($AJ76='[1]Info I'!$G$3,$AI76/$R$11,"Error")))</f>
        <v/>
      </c>
      <c r="AC76" s="354" t="str">
        <f t="shared" si="19"/>
        <v/>
      </c>
      <c r="AD76" s="355" t="str">
        <f t="shared" si="20"/>
        <v/>
      </c>
      <c r="AE76" s="172" t="str">
        <f t="shared" si="17"/>
        <v/>
      </c>
      <c r="AF76" s="173" t="str">
        <f>IFERROR(IF(T76="","",VLOOKUP(T76,Data!V:Z,4,FALSE)),"Error")</f>
        <v/>
      </c>
      <c r="AG76" s="172" t="str">
        <f t="shared" si="13"/>
        <v/>
      </c>
      <c r="AH76" s="174" t="str">
        <f t="shared" si="14"/>
        <v/>
      </c>
      <c r="AI76" s="172" t="str">
        <f t="shared" si="15"/>
        <v/>
      </c>
      <c r="AJ76" s="174" t="str">
        <f t="shared" si="16"/>
        <v/>
      </c>
    </row>
    <row r="77" spans="1:36" ht="18.75">
      <c r="A77" s="519"/>
      <c r="B77" s="451" t="str">
        <f>IF(Planner!F112="","","Fireworks - "&amp;Planner!F112)</f>
        <v/>
      </c>
      <c r="C77" s="452"/>
      <c r="D77" s="148" t="str">
        <f>_xlfn.XLOOKUP(Planner!$F$112,Data!$P:$P,Data!$N:$N,"")</f>
        <v/>
      </c>
      <c r="E77" s="151">
        <v>1</v>
      </c>
      <c r="F77" s="155">
        <f>_xlfn.XLOOKUP(Planner!$F$112,Data!$P:$P,Data!$Q:$Q,"")</f>
        <v>0</v>
      </c>
      <c r="G77" s="155">
        <f t="shared" si="24"/>
        <v>0</v>
      </c>
      <c r="H77" s="148" t="s">
        <v>21</v>
      </c>
      <c r="I77" s="119">
        <f>_xlfn.XLOOKUP(Planner!F112,Data!P:P,Data!O:O,"")</f>
        <v>0</v>
      </c>
      <c r="J77" s="312">
        <f>_xlfn.XLOOKUP(Planner!F112,Data!P:P,Data!R:R,"")</f>
        <v>0</v>
      </c>
      <c r="K77" s="118" t="str">
        <f>_xlfn.XLOOKUP(Planner!F112,Data!P:P,Data!S:S,"")</f>
        <v>MXN</v>
      </c>
      <c r="L77" s="157"/>
      <c r="M77" s="119"/>
      <c r="O77" s="312"/>
      <c r="P77" s="312"/>
      <c r="R77" s="157"/>
      <c r="T77" s="168" t="str">
        <f t="shared" si="6"/>
        <v/>
      </c>
      <c r="U77" s="169" t="str">
        <f>IF($AE77="","",IF($H$139="USD",$AE77/(1+$AF77),IF($H$139='[1]Info I'!$G$3,$AE77/$R$12/(1+$AF77),"Error")))</f>
        <v/>
      </c>
      <c r="V77" s="170">
        <f>IF($AG77="","",IF($AH77="USD",$AG77,IF($AH77=Data!$AD$3,$AG77/$R$12,"Error")))</f>
        <v>0</v>
      </c>
      <c r="W77" s="171" t="str">
        <f>IF($AI77="","",IF($AJ77="USD",$AI77,IF($AJ77='[1]Info I'!$G$3,$AI77/$R$12,"Error")))</f>
        <v/>
      </c>
      <c r="X77" s="169" t="str">
        <f t="shared" si="9"/>
        <v/>
      </c>
      <c r="Y77" s="332" t="str">
        <f t="shared" si="0"/>
        <v/>
      </c>
      <c r="Z77" s="351" t="str">
        <f>IF($AE77="","",IF($H$139="USD",$AE77/(1+$AF77),IF($H$139='[1]Info I'!$G$3,$AE77/$R$11/(1+$AF77),"Error")))</f>
        <v/>
      </c>
      <c r="AA77" s="352">
        <f>IF($AG77="","",IF($AH77="USD",$AG77,IF($AH77=Data!$AD$3,$AG77/$R$11,"Error")))</f>
        <v>0</v>
      </c>
      <c r="AB77" s="353" t="str">
        <f>IF($AI77="","",IF($AJ77="USD",$AI77,IF($AJ77='[1]Info I'!$G$3,$AI77/$R$11,"Error")))</f>
        <v/>
      </c>
      <c r="AC77" s="354" t="str">
        <f t="shared" si="19"/>
        <v/>
      </c>
      <c r="AD77" s="355" t="str">
        <f t="shared" si="20"/>
        <v/>
      </c>
      <c r="AE77" s="172" t="str">
        <f t="shared" si="17"/>
        <v/>
      </c>
      <c r="AF77" s="173" t="str">
        <f>IFERROR(IF(T77="","",VLOOKUP(T77,Data!V:Z,4,FALSE)),"Error")</f>
        <v/>
      </c>
      <c r="AG77" s="172">
        <f t="shared" si="13"/>
        <v>0</v>
      </c>
      <c r="AH77" s="174" t="str">
        <f t="shared" si="14"/>
        <v>MXN</v>
      </c>
      <c r="AI77" s="172" t="str">
        <f t="shared" si="15"/>
        <v/>
      </c>
      <c r="AJ77" s="174" t="str">
        <f t="shared" si="16"/>
        <v/>
      </c>
    </row>
    <row r="78" spans="1:36" ht="18.75">
      <c r="A78" s="455" t="s">
        <v>353</v>
      </c>
      <c r="B78" s="451" t="str">
        <f>IF(Planner!C116="","","Show - "&amp;Planner!C116)</f>
        <v/>
      </c>
      <c r="C78" s="452"/>
      <c r="D78" s="148" t="str">
        <f>_xlfn.XLOOKUP(Planner!$C$116,Data!$P:$P,Data!$N:$N,"")</f>
        <v/>
      </c>
      <c r="E78" s="151">
        <v>1</v>
      </c>
      <c r="F78" s="155">
        <f>_xlfn.XLOOKUP(Planner!$C$116,Data!$P:$P,Data!$Q:$Q,"")</f>
        <v>0</v>
      </c>
      <c r="G78" s="155">
        <f t="shared" si="24"/>
        <v>0</v>
      </c>
      <c r="H78" s="148" t="s">
        <v>21</v>
      </c>
      <c r="I78" s="119">
        <f>_xlfn.XLOOKUP(Planner!C116,Data!P:P,Data!O:O,"")</f>
        <v>0</v>
      </c>
      <c r="J78" s="312">
        <f>_xlfn.XLOOKUP(Planner!C116,Data!P:P,Data!R:R,"")</f>
        <v>0</v>
      </c>
      <c r="K78" s="118" t="str">
        <f>_xlfn.XLOOKUP(Planner!F113,Data!P:P,Data!S:S,"")</f>
        <v>MXN</v>
      </c>
      <c r="L78" s="157"/>
      <c r="M78" s="119"/>
      <c r="O78" s="312"/>
      <c r="P78" s="312"/>
      <c r="R78" s="157"/>
      <c r="T78" s="168" t="str">
        <f t="shared" si="6"/>
        <v/>
      </c>
      <c r="U78" s="169" t="str">
        <f>IF($AE78="","",IF($H$139="USD",$AE78/(1+$AF78),IF($H$139='[1]Info I'!$G$3,$AE78/$R$12/(1+$AF78),"Error")))</f>
        <v/>
      </c>
      <c r="V78" s="170">
        <f>IF($AG78="","",IF($AH78="USD",$AG78,IF($AH78=Data!$AD$3,$AG78/$R$12,"Error")))</f>
        <v>0</v>
      </c>
      <c r="W78" s="171" t="str">
        <f>IF($AI78="","",IF($AJ78="USD",$AI78,IF($AJ78='[1]Info I'!$G$3,$AI78/$R$12,"Error")))</f>
        <v/>
      </c>
      <c r="X78" s="169" t="str">
        <f t="shared" si="9"/>
        <v/>
      </c>
      <c r="Y78" s="332" t="str">
        <f t="shared" si="0"/>
        <v/>
      </c>
      <c r="Z78" s="351" t="str">
        <f>IF($AE78="","",IF($H$139="USD",$AE78/(1+$AF78),IF($H$139='[1]Info I'!$G$3,$AE78/$R$11/(1+$AF78),"Error")))</f>
        <v/>
      </c>
      <c r="AA78" s="352">
        <f>IF($AG78="","",IF($AH78="USD",$AG78,IF($AH78=Data!$AD$3,$AG78/$R$11,"Error")))</f>
        <v>0</v>
      </c>
      <c r="AB78" s="353" t="str">
        <f>IF($AI78="","",IF($AJ78="USD",$AI78,IF($AJ78='[1]Info I'!$G$3,$AI78/$R$11,"Error")))</f>
        <v/>
      </c>
      <c r="AC78" s="354" t="str">
        <f t="shared" si="19"/>
        <v/>
      </c>
      <c r="AD78" s="355" t="str">
        <f t="shared" si="20"/>
        <v/>
      </c>
      <c r="AE78" s="172" t="str">
        <f t="shared" si="17"/>
        <v/>
      </c>
      <c r="AF78" s="173" t="str">
        <f>IFERROR(IF(T78="","",VLOOKUP(T78,Data!V:Z,4,FALSE)),"Error")</f>
        <v/>
      </c>
      <c r="AG78" s="172">
        <f t="shared" si="13"/>
        <v>0</v>
      </c>
      <c r="AH78" s="174" t="str">
        <f t="shared" si="14"/>
        <v>MXN</v>
      </c>
      <c r="AI78" s="172" t="str">
        <f t="shared" si="15"/>
        <v/>
      </c>
      <c r="AJ78" s="174" t="str">
        <f t="shared" si="16"/>
        <v/>
      </c>
    </row>
    <row r="79" spans="1:36" ht="18.75">
      <c r="A79" s="456"/>
      <c r="B79" s="451">
        <f>Planner!C117</f>
        <v>0</v>
      </c>
      <c r="C79" s="452"/>
      <c r="D79" s="148" t="str">
        <f>_xlfn.XLOOKUP(Invoice!B79,Data!$P:$P,Data!$N:$N,"")</f>
        <v/>
      </c>
      <c r="E79" s="151">
        <v>1</v>
      </c>
      <c r="F79" s="155" t="str">
        <f>_xlfn.XLOOKUP($B79,Data!$P:$P,Data!$Q:$Q,"")</f>
        <v/>
      </c>
      <c r="G79" s="155" t="str">
        <f t="shared" si="24"/>
        <v/>
      </c>
      <c r="H79" s="148" t="s">
        <v>21</v>
      </c>
      <c r="I79" s="119" t="str">
        <f>_xlfn.XLOOKUP(B79,Data!P:P,Data!O:O,"")</f>
        <v/>
      </c>
      <c r="J79" s="312" t="str">
        <f>_xlfn.XLOOKUP(B79,Data!P:P,Data!R:R,"")</f>
        <v/>
      </c>
      <c r="K79" s="118" t="str">
        <f>_xlfn.XLOOKUP(B79,Data!P:P,Data!S:S,"")</f>
        <v/>
      </c>
      <c r="L79" s="157"/>
      <c r="M79" s="119"/>
      <c r="O79" s="312"/>
      <c r="P79" s="312"/>
      <c r="R79" s="157"/>
      <c r="T79" s="168" t="str">
        <f t="shared" si="6"/>
        <v/>
      </c>
      <c r="U79" s="169" t="str">
        <f>IF($AE79="","",IF($H$139="USD",$AE79/(1+$AF79),IF($H$139='[1]Info I'!$G$3,$AE79/$R$12/(1+$AF79),"Error")))</f>
        <v/>
      </c>
      <c r="V79" s="170" t="str">
        <f>IF($AG79="","",IF($AH79="USD",$AG79,IF($AH79=Data!$AD$3,$AG79/$R$12,"Error")))</f>
        <v/>
      </c>
      <c r="W79" s="171" t="str">
        <f>IF($AI79="","",IF($AJ79="USD",$AI79,IF($AJ79='[1]Info I'!$G$3,$AI79/$R$12,"Error")))</f>
        <v/>
      </c>
      <c r="X79" s="169" t="str">
        <f t="shared" si="9"/>
        <v/>
      </c>
      <c r="Y79" s="332" t="str">
        <f t="shared" si="0"/>
        <v/>
      </c>
      <c r="Z79" s="351" t="str">
        <f>IF($AE79="","",IF($H$139="USD",$AE79/(1+$AF79),IF($H$139='[1]Info I'!$G$3,$AE79/$R$11/(1+$AF79),"Error")))</f>
        <v/>
      </c>
      <c r="AA79" s="352" t="str">
        <f>IF($AG79="","",IF($AH79="USD",$AG79,IF($AH79=Data!$AD$3,$AG79/$R$11,"Error")))</f>
        <v/>
      </c>
      <c r="AB79" s="353" t="str">
        <f>IF($AI79="","",IF($AJ79="USD",$AI79,IF($AJ79='[1]Info I'!$G$3,$AI79/$R$11,"Error")))</f>
        <v/>
      </c>
      <c r="AC79" s="354" t="str">
        <f t="shared" si="19"/>
        <v/>
      </c>
      <c r="AD79" s="355" t="str">
        <f t="shared" si="20"/>
        <v/>
      </c>
      <c r="AE79" s="172" t="str">
        <f t="shared" si="17"/>
        <v/>
      </c>
      <c r="AF79" s="173" t="str">
        <f>IFERROR(IF(T79="","",VLOOKUP(T79,Data!V:Z,4,FALSE)),"Error")</f>
        <v/>
      </c>
      <c r="AG79" s="172" t="str">
        <f t="shared" si="13"/>
        <v/>
      </c>
      <c r="AH79" s="174" t="str">
        <f t="shared" si="14"/>
        <v/>
      </c>
      <c r="AI79" s="172" t="str">
        <f t="shared" si="15"/>
        <v/>
      </c>
      <c r="AJ79" s="174" t="str">
        <f t="shared" si="16"/>
        <v/>
      </c>
    </row>
    <row r="80" spans="1:36" ht="18.75">
      <c r="A80" s="456"/>
      <c r="B80" s="451">
        <f>Planner!G116</f>
        <v>0</v>
      </c>
      <c r="C80" s="452"/>
      <c r="D80" s="148" t="str">
        <f>_xlfn.XLOOKUP(Invoice!B80,Data!$P:$P,Data!$N:$N,"")</f>
        <v/>
      </c>
      <c r="E80" s="151">
        <v>1</v>
      </c>
      <c r="F80" s="155" t="str">
        <f>_xlfn.XLOOKUP($B80,Data!$P:$P,Data!$Q:$Q,"")</f>
        <v/>
      </c>
      <c r="G80" s="155" t="str">
        <f t="shared" si="24"/>
        <v/>
      </c>
      <c r="H80" s="148" t="s">
        <v>21</v>
      </c>
      <c r="I80" s="119" t="str">
        <f>_xlfn.XLOOKUP(B80,Data!P:P,Data!O:O,"")</f>
        <v/>
      </c>
      <c r="J80" s="312" t="str">
        <f>_xlfn.XLOOKUP(B80,Data!P:P,Data!R:R,"")</f>
        <v/>
      </c>
      <c r="K80" s="118" t="str">
        <f>_xlfn.XLOOKUP(B80,Data!P:P,Data!S:S,"")</f>
        <v/>
      </c>
      <c r="L80" s="157"/>
      <c r="M80" s="119"/>
      <c r="O80" s="312"/>
      <c r="P80" s="312"/>
      <c r="R80" s="157"/>
      <c r="T80" s="168" t="str">
        <f t="shared" si="6"/>
        <v/>
      </c>
      <c r="U80" s="169" t="str">
        <f>IF($AE80="","",IF($H$139="USD",$AE80/(1+$AF80),IF($H$139='[1]Info I'!$G$3,$AE80/$R$12/(1+$AF80),"Error")))</f>
        <v/>
      </c>
      <c r="V80" s="170" t="str">
        <f>IF($AG80="","",IF($AH80="USD",$AG80,IF($AH80=Data!$AD$3,$AG80/$R$12,"Error")))</f>
        <v/>
      </c>
      <c r="W80" s="171" t="str">
        <f>IF($AI80="","",IF($AJ80="USD",$AI80,IF($AJ80='[1]Info I'!$G$3,$AI80/$R$12,"Error")))</f>
        <v/>
      </c>
      <c r="X80" s="169" t="str">
        <f t="shared" si="9"/>
        <v/>
      </c>
      <c r="Y80" s="332" t="str">
        <f t="shared" si="0"/>
        <v/>
      </c>
      <c r="Z80" s="351" t="str">
        <f>IF($AE80="","",IF($H$139="USD",$AE80/(1+$AF80),IF($H$139='[1]Info I'!$G$3,$AE80/$R$11/(1+$AF80),"Error")))</f>
        <v/>
      </c>
      <c r="AA80" s="352" t="str">
        <f>IF($AG80="","",IF($AH80="USD",$AG80,IF($AH80=Data!$AD$3,$AG80/$R$11,"Error")))</f>
        <v/>
      </c>
      <c r="AB80" s="353" t="str">
        <f>IF($AI80="","",IF($AJ80="USD",$AI80,IF($AJ80='[1]Info I'!$G$3,$AI80/$R$11,"Error")))</f>
        <v/>
      </c>
      <c r="AC80" s="354" t="str">
        <f t="shared" si="19"/>
        <v/>
      </c>
      <c r="AD80" s="355" t="str">
        <f t="shared" si="20"/>
        <v/>
      </c>
      <c r="AE80" s="172" t="str">
        <f t="shared" si="17"/>
        <v/>
      </c>
      <c r="AF80" s="173" t="str">
        <f>IFERROR(IF(T80="","",VLOOKUP(T80,Data!V:Z,4,FALSE)),"Error")</f>
        <v/>
      </c>
      <c r="AG80" s="172" t="str">
        <f t="shared" si="13"/>
        <v/>
      </c>
      <c r="AH80" s="174" t="str">
        <f t="shared" si="14"/>
        <v/>
      </c>
      <c r="AI80" s="172" t="str">
        <f t="shared" si="15"/>
        <v/>
      </c>
      <c r="AJ80" s="174" t="str">
        <f t="shared" si="16"/>
        <v/>
      </c>
    </row>
    <row r="81" spans="1:36" ht="18.75">
      <c r="A81" s="456"/>
      <c r="B81" s="451" t="str">
        <f>IF(Planner!H117="","",LEFT(Planner!F117,24))</f>
        <v/>
      </c>
      <c r="C81" s="452"/>
      <c r="D81" s="148" t="str">
        <f>_xlfn.XLOOKUP(Invoice!B81,Data!$P:$P,Data!$N:$N,"")</f>
        <v/>
      </c>
      <c r="E81" s="151">
        <f>Planner!H117</f>
        <v>0</v>
      </c>
      <c r="F81" s="155" t="str">
        <f>_xlfn.XLOOKUP(Invoice!B81,Data!$P:$P,Data!$Q:$Q,"")</f>
        <v/>
      </c>
      <c r="G81" s="155" t="str">
        <f t="shared" si="24"/>
        <v/>
      </c>
      <c r="H81" s="148" t="s">
        <v>21</v>
      </c>
      <c r="I81" s="119" t="str">
        <f>_xlfn.XLOOKUP(B81,Data!P:P,Data!O:O,"")</f>
        <v/>
      </c>
      <c r="J81" s="312" t="str">
        <f>_xlfn.XLOOKUP(B81,Data!P:P,Data!R:R,"")</f>
        <v/>
      </c>
      <c r="K81" s="118" t="str">
        <f>_xlfn.XLOOKUP(B81,Data!P:P,Data!S:S,"")</f>
        <v/>
      </c>
      <c r="L81" s="157"/>
      <c r="M81" s="119"/>
      <c r="O81" s="312"/>
      <c r="P81" s="312"/>
      <c r="R81" s="157"/>
      <c r="T81" s="168" t="str">
        <f t="shared" si="6"/>
        <v/>
      </c>
      <c r="U81" s="169" t="str">
        <f>IF($AE81="","",IF($H$139="USD",$AE81/(1+$AF81),IF($H$139='[1]Info I'!$G$3,$AE81/$R$12/(1+$AF81),"Error")))</f>
        <v/>
      </c>
      <c r="V81" s="170" t="str">
        <f>IF($AG81="","",IF($AH81="USD",$AG81,IF($AH81=Data!$AD$3,$AG81/$R$12,"Error")))</f>
        <v/>
      </c>
      <c r="W81" s="171" t="str">
        <f>IF($AI81="","",IF($AJ81="USD",$AI81,IF($AJ81='[1]Info I'!$G$3,$AI81/$R$12,"Error")))</f>
        <v/>
      </c>
      <c r="X81" s="169" t="str">
        <f t="shared" si="9"/>
        <v/>
      </c>
      <c r="Y81" s="332" t="str">
        <f t="shared" si="0"/>
        <v/>
      </c>
      <c r="Z81" s="351" t="str">
        <f>IF($AE81="","",IF($H$139="USD",$AE81/(1+$AF81),IF($H$139='[1]Info I'!$G$3,$AE81/$R$11/(1+$AF81),"Error")))</f>
        <v/>
      </c>
      <c r="AA81" s="352" t="str">
        <f>IF($AG81="","",IF($AH81="USD",$AG81,IF($AH81=Data!$AD$3,$AG81/$R$11,"Error")))</f>
        <v/>
      </c>
      <c r="AB81" s="353" t="str">
        <f>IF($AI81="","",IF($AJ81="USD",$AI81,IF($AJ81='[1]Info I'!$G$3,$AI81/$R$11,"Error")))</f>
        <v/>
      </c>
      <c r="AC81" s="354" t="str">
        <f t="shared" si="19"/>
        <v/>
      </c>
      <c r="AD81" s="355" t="str">
        <f t="shared" si="20"/>
        <v/>
      </c>
      <c r="AE81" s="172" t="str">
        <f t="shared" si="17"/>
        <v/>
      </c>
      <c r="AF81" s="173" t="str">
        <f>IFERROR(IF(T81="","",VLOOKUP(T81,Data!V:Z,4,FALSE)),"Error")</f>
        <v/>
      </c>
      <c r="AG81" s="172" t="str">
        <f t="shared" si="13"/>
        <v/>
      </c>
      <c r="AH81" s="174" t="str">
        <f t="shared" si="14"/>
        <v/>
      </c>
      <c r="AI81" s="172" t="str">
        <f t="shared" si="15"/>
        <v/>
      </c>
      <c r="AJ81" s="174" t="str">
        <f t="shared" si="16"/>
        <v/>
      </c>
    </row>
    <row r="82" spans="1:36" ht="18.75">
      <c r="A82" s="456"/>
      <c r="B82" s="451">
        <f>Planner!G118</f>
        <v>0</v>
      </c>
      <c r="C82" s="452"/>
      <c r="D82" s="148" t="str">
        <f>_xlfn.XLOOKUP(Invoice!B82,Data!$P:$P,Data!$N:$N,"")</f>
        <v/>
      </c>
      <c r="E82" s="151">
        <v>1</v>
      </c>
      <c r="F82" s="155" t="str">
        <f>_xlfn.XLOOKUP(Invoice!B82,Data!$P:$P,Data!$Q:$Q,"")</f>
        <v/>
      </c>
      <c r="G82" s="155" t="str">
        <f t="shared" si="24"/>
        <v/>
      </c>
      <c r="H82" s="148" t="s">
        <v>21</v>
      </c>
      <c r="I82" s="119" t="str">
        <f>_xlfn.XLOOKUP(B82,Data!P:P,Data!O:O,"")</f>
        <v/>
      </c>
      <c r="J82" s="312" t="str">
        <f>_xlfn.XLOOKUP(B82,Data!P:P,Data!R:R,"")</f>
        <v/>
      </c>
      <c r="K82" s="118" t="str">
        <f>_xlfn.XLOOKUP(B82,Data!P:P,Data!S:S,"")</f>
        <v/>
      </c>
      <c r="L82" s="157"/>
      <c r="M82" s="119"/>
      <c r="O82" s="312"/>
      <c r="P82" s="312"/>
      <c r="R82" s="157"/>
      <c r="T82" s="168" t="str">
        <f t="shared" si="6"/>
        <v/>
      </c>
      <c r="U82" s="169" t="str">
        <f>IF($AE82="","",IF($H$139="USD",$AE82/(1+$AF82),IF($H$139='[1]Info I'!$G$3,$AE82/$R$12/(1+$AF82),"Error")))</f>
        <v/>
      </c>
      <c r="V82" s="170" t="str">
        <f>IF($AG82="","",IF($AH82="USD",$AG82,IF($AH82=Data!$AD$3,$AG82/$R$12,"Error")))</f>
        <v/>
      </c>
      <c r="W82" s="171" t="str">
        <f>IF($AI82="","",IF($AJ82="USD",$AI82,IF($AJ82='[1]Info I'!$G$3,$AI82/$R$12,"Error")))</f>
        <v/>
      </c>
      <c r="X82" s="169" t="str">
        <f t="shared" ref="X82:X113" si="25">IFERROR(IF(+IF(V82="",0,V82)+IF(W82="",0,W82)=0,"",+IF(V82="",0,V82)+IF(W82="",0,W82)),"Error")</f>
        <v/>
      </c>
      <c r="Y82" s="332" t="str">
        <f t="shared" si="0"/>
        <v/>
      </c>
      <c r="Z82" s="351" t="str">
        <f>IF($AE82="","",IF($H$139="USD",$AE82/(1+$AF82),IF($H$139='[1]Info I'!$G$3,$AE82/$R$11/(1+$AF82),"Error")))</f>
        <v/>
      </c>
      <c r="AA82" s="352" t="str">
        <f>IF($AG82="","",IF($AH82="USD",$AG82,IF($AH82=Data!$AD$3,$AG82/$R$11,"Error")))</f>
        <v/>
      </c>
      <c r="AB82" s="353" t="str">
        <f>IF($AI82="","",IF($AJ82="USD",$AI82,IF($AJ82='[1]Info I'!$G$3,$AI82/$R$11,"Error")))</f>
        <v/>
      </c>
      <c r="AC82" s="354" t="str">
        <f t="shared" si="19"/>
        <v/>
      </c>
      <c r="AD82" s="355" t="str">
        <f t="shared" si="20"/>
        <v/>
      </c>
      <c r="AE82" s="172" t="str">
        <f t="shared" si="17"/>
        <v/>
      </c>
      <c r="AF82" s="173" t="str">
        <f>IFERROR(IF(T82="","",VLOOKUP(T82,Data!V:Z,4,FALSE)),"Error")</f>
        <v/>
      </c>
      <c r="AG82" s="172" t="str">
        <f t="shared" si="13"/>
        <v/>
      </c>
      <c r="AH82" s="174" t="str">
        <f t="shared" si="14"/>
        <v/>
      </c>
      <c r="AI82" s="172" t="str">
        <f t="shared" si="15"/>
        <v/>
      </c>
      <c r="AJ82" s="174" t="str">
        <f t="shared" si="16"/>
        <v/>
      </c>
    </row>
    <row r="83" spans="1:36" ht="18.75">
      <c r="A83" s="119"/>
      <c r="B83" s="451"/>
      <c r="C83" s="452"/>
      <c r="D83" s="148"/>
      <c r="E83" s="151"/>
      <c r="F83" s="155"/>
      <c r="G83" s="155"/>
      <c r="H83" s="148"/>
      <c r="I83" s="119"/>
      <c r="J83" s="312"/>
      <c r="L83" s="157"/>
      <c r="M83" s="119"/>
      <c r="O83" s="312"/>
      <c r="P83" s="312"/>
      <c r="R83" s="157"/>
      <c r="T83" s="168" t="str">
        <f t="shared" si="6"/>
        <v/>
      </c>
      <c r="U83" s="169" t="str">
        <f>IF($AE83="","",IF($H$139="USD",$AE83/(1+$AF83),IF($H$139='[1]Info I'!$G$3,$AE83/$R$12/(1+$AF83),"Error")))</f>
        <v/>
      </c>
      <c r="V83" s="170" t="str">
        <f>IF($AG83="","",IF($AH83="USD",$AG83,IF($AH83=Data!$AD$3,$AG83/$R$12,"Error")))</f>
        <v/>
      </c>
      <c r="W83" s="171" t="str">
        <f>IF($AI83="","",IF($AJ83="USD",$AI83,IF($AJ83='[1]Info I'!$G$3,$AI83/$R$12,"Error")))</f>
        <v/>
      </c>
      <c r="X83" s="169" t="str">
        <f t="shared" si="25"/>
        <v/>
      </c>
      <c r="Y83" s="332" t="str">
        <f t="shared" ref="Y83:Y113" si="26">IFERROR(+(U83-X83)/U83,"")</f>
        <v/>
      </c>
      <c r="Z83" s="351" t="str">
        <f>IF($AE83="","",IF($H$139="USD",$AE83/(1+$AF83),IF($H$139='[1]Info I'!$G$3,$AE83/$R$11/(1+$AF83),"Error")))</f>
        <v/>
      </c>
      <c r="AA83" s="352" t="str">
        <f>IF($AG83="","",IF($AH83="USD",$AG83,IF($AH83=Data!$AD$3,$AG83/$R$11,"Error")))</f>
        <v/>
      </c>
      <c r="AB83" s="353" t="str">
        <f>IF($AI83="","",IF($AJ83="USD",$AI83,IF($AJ83='[1]Info I'!$G$3,$AI83/$R$11,"Error")))</f>
        <v/>
      </c>
      <c r="AC83" s="354" t="str">
        <f t="shared" si="19"/>
        <v/>
      </c>
      <c r="AD83" s="355" t="str">
        <f t="shared" si="20"/>
        <v/>
      </c>
      <c r="AE83" s="172" t="str">
        <f t="shared" si="17"/>
        <v/>
      </c>
      <c r="AF83" s="173" t="str">
        <f>IFERROR(IF(T83="","",VLOOKUP(T83,Data!V:Z,4,FALSE)),"Error")</f>
        <v/>
      </c>
      <c r="AG83" s="172" t="str">
        <f t="shared" ref="AG83:AG108" si="27">IF(J83="","",J83)</f>
        <v/>
      </c>
      <c r="AH83" s="174" t="str">
        <f t="shared" ref="AH83:AH108" si="28">IF(AG83="","",IF(K83="","Error",K83))</f>
        <v/>
      </c>
      <c r="AI83" s="172" t="str">
        <f t="shared" ref="AI83:AI108" si="29">IF(P83="","",P83)</f>
        <v/>
      </c>
      <c r="AJ83" s="174" t="str">
        <f t="shared" ref="AJ83:AJ108" si="30">IF(AI83="","",IF(Q83="","Error",Q83))</f>
        <v/>
      </c>
    </row>
    <row r="84" spans="1:36" ht="18.75">
      <c r="A84" s="119"/>
      <c r="B84" s="451"/>
      <c r="C84" s="452"/>
      <c r="D84" s="148"/>
      <c r="E84" s="151"/>
      <c r="F84" s="155"/>
      <c r="G84" s="155"/>
      <c r="H84" s="148"/>
      <c r="I84" s="119"/>
      <c r="J84" s="312"/>
      <c r="L84" s="157"/>
      <c r="M84" s="119"/>
      <c r="O84" s="312"/>
      <c r="P84" s="312"/>
      <c r="R84" s="157"/>
      <c r="T84" s="168" t="str">
        <f t="shared" ref="T84:T138" si="31">IF(+D84&lt;&gt;"",D84,IF(SUM(G84,J84,P84)&lt;&gt;0,T82,""))</f>
        <v/>
      </c>
      <c r="U84" s="169" t="str">
        <f>IF($AE84="","",IF($H$139="USD",$AE84/(1+$AF84),IF($H$139='[1]Info I'!$G$3,$AE84/$R$12/(1+$AF84),"Error")))</f>
        <v/>
      </c>
      <c r="V84" s="170" t="str">
        <f>IF($AG84="","",IF($AH84="USD",$AG84,IF($AH84=Data!$AD$3,$AG84/$R$12,"Error")))</f>
        <v/>
      </c>
      <c r="W84" s="171" t="str">
        <f>IF($AI84="","",IF($AJ84="USD",$AI84,IF($AJ84='[1]Info I'!$G$3,$AI84/$R$12,"Error")))</f>
        <v/>
      </c>
      <c r="X84" s="169" t="str">
        <f t="shared" si="25"/>
        <v/>
      </c>
      <c r="Y84" s="332" t="str">
        <f t="shared" si="26"/>
        <v/>
      </c>
      <c r="Z84" s="351" t="str">
        <f>IF($AE84="","",IF($H$139="USD",$AE84/(1+$AF84),IF($H$139='[1]Info I'!$G$3,$AE84/$R$11/(1+$AF84),"Error")))</f>
        <v/>
      </c>
      <c r="AA84" s="352" t="str">
        <f>IF($AG84="","",IF($AH84="USD",$AG84,IF($AH84=Data!$AD$3,$AG84/$R$11,"Error")))</f>
        <v/>
      </c>
      <c r="AB84" s="353" t="str">
        <f>IF($AI84="","",IF($AJ84="USD",$AI84,IF($AJ84='[1]Info I'!$G$3,$AI84/$R$11,"Error")))</f>
        <v/>
      </c>
      <c r="AC84" s="354" t="str">
        <f t="shared" si="19"/>
        <v/>
      </c>
      <c r="AD84" s="355" t="str">
        <f t="shared" si="20"/>
        <v/>
      </c>
      <c r="AE84" s="172" t="str">
        <f t="shared" ref="AE84:AE108" si="32">IF(+G84=0,"",+G84)</f>
        <v/>
      </c>
      <c r="AF84" s="173" t="str">
        <f>IFERROR(IF(T84="","",VLOOKUP(T84,Data!V:Z,4,FALSE)),"Error")</f>
        <v/>
      </c>
      <c r="AG84" s="172" t="str">
        <f t="shared" si="27"/>
        <v/>
      </c>
      <c r="AH84" s="174" t="str">
        <f t="shared" si="28"/>
        <v/>
      </c>
      <c r="AI84" s="172" t="str">
        <f t="shared" si="29"/>
        <v/>
      </c>
      <c r="AJ84" s="174" t="str">
        <f t="shared" si="30"/>
        <v/>
      </c>
    </row>
    <row r="85" spans="1:36" ht="18.75">
      <c r="A85" s="119"/>
      <c r="B85" s="457" t="s">
        <v>594</v>
      </c>
      <c r="C85" s="458"/>
      <c r="D85" s="148"/>
      <c r="E85" s="151"/>
      <c r="F85" s="155" t="str">
        <f>_xlfn.XLOOKUP(Invoice!B85,Data!$P:$P,Data!$Q:$Q,"")</f>
        <v/>
      </c>
      <c r="G85" s="155"/>
      <c r="H85" s="148"/>
      <c r="I85" s="119"/>
      <c r="J85" s="312"/>
      <c r="L85" s="157"/>
      <c r="M85" s="119"/>
      <c r="O85" s="312"/>
      <c r="P85" s="312"/>
      <c r="R85" s="157"/>
      <c r="T85" s="168" t="str">
        <f t="shared" si="31"/>
        <v/>
      </c>
      <c r="U85" s="169" t="str">
        <f>IF($AE85="","",IF($H$139="USD",$AE85/(1+$AF85),IF($H$139='[1]Info I'!$G$3,$AE85/$R$12/(1+$AF85),"Error")))</f>
        <v/>
      </c>
      <c r="V85" s="170" t="str">
        <f>IF($AG85="","",IF($AH85="USD",$AG85,IF($AH85=Data!$AD$3,$AG85/$R$12,"Error")))</f>
        <v/>
      </c>
      <c r="W85" s="171" t="str">
        <f>IF($AI85="","",IF($AJ85="USD",$AI85,IF($AJ85='[1]Info I'!$G$3,$AI85/$R$12,"Error")))</f>
        <v/>
      </c>
      <c r="X85" s="169" t="str">
        <f t="shared" si="25"/>
        <v/>
      </c>
      <c r="Y85" s="332" t="str">
        <f t="shared" si="26"/>
        <v/>
      </c>
      <c r="Z85" s="351" t="str">
        <f>IF($AE85="","",IF($H$139="USD",$AE85/(1+$AF85),IF($H$139='[1]Info I'!$G$3,$AE85/$R$11/(1+$AF85),"Error")))</f>
        <v/>
      </c>
      <c r="AA85" s="352" t="str">
        <f>IF($AG85="","",IF($AH85="USD",$AG85,IF($AH85=Data!$AD$3,$AG85/$R$11,"Error")))</f>
        <v/>
      </c>
      <c r="AB85" s="353" t="str">
        <f>IF($AI85="","",IF($AJ85="USD",$AI85,IF($AJ85='[1]Info I'!$G$3,$AI85/$R$11,"Error")))</f>
        <v/>
      </c>
      <c r="AC85" s="354" t="str">
        <f>IFERROR(IF(+IF(AA85="",0,AA85)+IF(AB85="",0,AB85)=0,"",+IF(AA85="",0,AA85)+IF(AB85="",0,AB85)),"Error")</f>
        <v/>
      </c>
      <c r="AD85" s="355" t="str">
        <f t="shared" si="20"/>
        <v/>
      </c>
      <c r="AE85" s="172" t="str">
        <f t="shared" si="32"/>
        <v/>
      </c>
      <c r="AF85" s="173" t="str">
        <f>IFERROR(IF(T85="","",VLOOKUP(T85,Data!V:Z,4,FALSE)),"Error")</f>
        <v/>
      </c>
      <c r="AG85" s="172" t="str">
        <f t="shared" si="27"/>
        <v/>
      </c>
      <c r="AH85" s="174" t="str">
        <f t="shared" si="28"/>
        <v/>
      </c>
      <c r="AI85" s="172" t="str">
        <f t="shared" si="29"/>
        <v/>
      </c>
      <c r="AJ85" s="174" t="str">
        <f t="shared" si="30"/>
        <v/>
      </c>
    </row>
    <row r="86" spans="1:36" ht="18.75">
      <c r="A86" s="138" t="s">
        <v>589</v>
      </c>
      <c r="B86" s="139"/>
      <c r="C86" s="140"/>
      <c r="D86" s="147"/>
      <c r="E86" s="147"/>
      <c r="F86" s="147"/>
      <c r="G86" s="147"/>
      <c r="H86" s="147"/>
      <c r="I86" s="158"/>
      <c r="J86" s="311"/>
      <c r="K86" s="314"/>
      <c r="L86" s="160"/>
      <c r="M86" s="164"/>
      <c r="N86" s="159"/>
      <c r="O86" s="311"/>
      <c r="P86" s="311"/>
      <c r="Q86" s="314"/>
      <c r="R86" s="160"/>
      <c r="T86" s="168" t="str">
        <f t="shared" si="31"/>
        <v/>
      </c>
      <c r="U86" s="169" t="str">
        <f>IF($AE86="","",IF($H$139="USD",$AE86/(1+$AF86),IF($H$139='[1]Info I'!$G$3,$AE86/$R$12/(1+$AF86),"Error")))</f>
        <v/>
      </c>
      <c r="V86" s="170" t="str">
        <f>IF($AG86="","",IF($AH86="USD",$AG86,IF($AH86=Data!$AD$3,$AG86/$R$12,"Error")))</f>
        <v/>
      </c>
      <c r="W86" s="171" t="str">
        <f>IF($AI86="","",IF($AJ86="USD",$AI86,IF($AJ86='[1]Info I'!$G$3,$AI86/$R$12,"Error")))</f>
        <v/>
      </c>
      <c r="X86" s="169" t="str">
        <f t="shared" si="25"/>
        <v/>
      </c>
      <c r="Y86" s="332" t="str">
        <f t="shared" si="26"/>
        <v/>
      </c>
      <c r="Z86" s="351" t="str">
        <f>IF($AE86="","",IF($H$139="USD",$AE86/(1+$AF86),IF($H$139='[1]Info I'!$G$3,$AE86/$R$11/(1+$AF86),"Error")))</f>
        <v/>
      </c>
      <c r="AA86" s="352" t="str">
        <f>IF($AG86="","",IF($AH86="USD",$AG86,IF($AH86=Data!$AD$3,$AG86/$R$11,"Error")))</f>
        <v/>
      </c>
      <c r="AB86" s="353" t="str">
        <f>IF($AI86="","",IF($AJ86="USD",$AI86,IF($AJ86='[1]Info I'!$G$3,$AI86/$R$11,"Error")))</f>
        <v/>
      </c>
      <c r="AC86" s="354" t="str">
        <f t="shared" si="19"/>
        <v/>
      </c>
      <c r="AD86" s="355" t="str">
        <f t="shared" si="20"/>
        <v/>
      </c>
      <c r="AE86" s="172" t="str">
        <f t="shared" si="32"/>
        <v/>
      </c>
      <c r="AF86" s="173" t="str">
        <f>IFERROR(IF(T86="","",VLOOKUP(T86,Data!V:Z,4,FALSE)),"Error")</f>
        <v/>
      </c>
      <c r="AG86" s="172" t="str">
        <f t="shared" si="27"/>
        <v/>
      </c>
      <c r="AH86" s="174" t="str">
        <f t="shared" si="28"/>
        <v/>
      </c>
      <c r="AI86" s="172" t="str">
        <f t="shared" si="29"/>
        <v/>
      </c>
      <c r="AJ86" s="174" t="str">
        <f t="shared" si="30"/>
        <v/>
      </c>
    </row>
    <row r="87" spans="1:36" ht="18.75">
      <c r="A87" s="119"/>
      <c r="B87" s="459" t="str">
        <f>IF(Planner!G131="MM/DD/YY","",Planner!G131)</f>
        <v/>
      </c>
      <c r="C87" s="460"/>
      <c r="D87" s="149"/>
      <c r="E87" s="153"/>
      <c r="F87" s="155"/>
      <c r="G87" s="155"/>
      <c r="H87" s="149"/>
      <c r="I87" s="119"/>
      <c r="J87" s="312"/>
      <c r="L87" s="157"/>
      <c r="M87" s="119"/>
      <c r="O87" s="312"/>
      <c r="P87" s="312"/>
      <c r="R87" s="157"/>
      <c r="T87" s="168" t="str">
        <f t="shared" si="31"/>
        <v/>
      </c>
      <c r="U87" s="169" t="str">
        <f>IF($AE87="","",IF($H$139="USD",$AE87/(1+$AF87),IF($H$139='[1]Info I'!$G$3,$AE87/$R$12/(1+$AF87),"Error")))</f>
        <v/>
      </c>
      <c r="V87" s="170" t="str">
        <f>IF($AG87="","",IF($AH87="USD",$AG87,IF($AH87=Data!$AD$3,$AG87/$R$12,"Error")))</f>
        <v/>
      </c>
      <c r="W87" s="171" t="str">
        <f>IF($AI87="","",IF($AJ87="USD",$AI87,IF($AJ87='[1]Info I'!$G$3,$AI87/$R$12,"Error")))</f>
        <v/>
      </c>
      <c r="X87" s="169" t="str">
        <f t="shared" si="25"/>
        <v/>
      </c>
      <c r="Y87" s="332" t="str">
        <f t="shared" si="26"/>
        <v/>
      </c>
      <c r="Z87" s="351" t="str">
        <f>IF($AE87="","",IF($H$139="USD",$AE87/(1+$AF87),IF($H$139='[1]Info I'!$G$3,$AE87/$R$11/(1+$AF87),"Error")))</f>
        <v/>
      </c>
      <c r="AA87" s="352" t="str">
        <f>IF($AG87="","",IF($AH87="USD",$AG87,IF($AH87=Data!$AD$3,$AG87/$R$11,"Error")))</f>
        <v/>
      </c>
      <c r="AB87" s="353" t="str">
        <f>IF($AI87="","",IF($AJ87="USD",$AI87,IF($AJ87='[1]Info I'!$G$3,$AI87/$R$11,"Error")))</f>
        <v/>
      </c>
      <c r="AC87" s="354" t="str">
        <f t="shared" si="19"/>
        <v/>
      </c>
      <c r="AD87" s="355" t="str">
        <f t="shared" si="20"/>
        <v/>
      </c>
      <c r="AE87" s="172" t="str">
        <f t="shared" si="32"/>
        <v/>
      </c>
      <c r="AF87" s="173" t="str">
        <f>IFERROR(IF(T87="","",VLOOKUP(T87,Data!V:Z,4,FALSE)),"Error")</f>
        <v/>
      </c>
      <c r="AG87" s="172" t="str">
        <f t="shared" si="27"/>
        <v/>
      </c>
      <c r="AH87" s="174" t="str">
        <f t="shared" si="28"/>
        <v/>
      </c>
      <c r="AI87" s="172" t="str">
        <f t="shared" si="29"/>
        <v/>
      </c>
      <c r="AJ87" s="174" t="str">
        <f t="shared" si="30"/>
        <v/>
      </c>
    </row>
    <row r="88" spans="1:36" ht="18.75">
      <c r="A88" s="119"/>
      <c r="B88" s="451" t="str">
        <f>IF(Planner!C132="","",Planner!C132&amp;" - "&amp;Planner!F132)</f>
        <v/>
      </c>
      <c r="C88" s="452"/>
      <c r="D88" s="149"/>
      <c r="E88" s="153"/>
      <c r="F88" s="155"/>
      <c r="G88" s="155"/>
      <c r="H88" s="149"/>
      <c r="I88" s="119"/>
      <c r="J88" s="312"/>
      <c r="L88" s="157"/>
      <c r="M88" s="119"/>
      <c r="O88" s="312"/>
      <c r="P88" s="312"/>
      <c r="R88" s="157"/>
      <c r="T88" s="168" t="str">
        <f t="shared" si="31"/>
        <v/>
      </c>
      <c r="U88" s="169" t="str">
        <f>IF($AE88="","",IF($H$139="USD",$AE88/(1+$AF88),IF($H$139='[1]Info I'!$G$3,$AE88/$R$12/(1+$AF88),"Error")))</f>
        <v/>
      </c>
      <c r="V88" s="170" t="str">
        <f>IF($AG88="","",IF($AH88="USD",$AG88,IF($AH88=Data!$AD$3,$AG88/$R$12,"Error")))</f>
        <v/>
      </c>
      <c r="W88" s="171" t="str">
        <f>IF($AI88="","",IF($AJ88="USD",$AI88,IF($AJ88='[1]Info I'!$G$3,$AI88/$R$12,"Error")))</f>
        <v/>
      </c>
      <c r="X88" s="169" t="str">
        <f t="shared" si="25"/>
        <v/>
      </c>
      <c r="Y88" s="332" t="str">
        <f t="shared" si="26"/>
        <v/>
      </c>
      <c r="Z88" s="351" t="str">
        <f>IF($AE88="","",IF($H$139="USD",$AE88/(1+$AF88),IF($H$139='[1]Info I'!$G$3,$AE88/$R$11/(1+$AF88),"Error")))</f>
        <v/>
      </c>
      <c r="AA88" s="352" t="str">
        <f>IF($AG88="","",IF($AH88="USD",$AG88,IF($AH88=Data!$AD$3,$AG88/$R$11,"Error")))</f>
        <v/>
      </c>
      <c r="AB88" s="353" t="str">
        <f>IF($AI88="","",IF($AJ88="USD",$AI88,IF($AJ88='[1]Info I'!$G$3,$AI88/$R$11,"Error")))</f>
        <v/>
      </c>
      <c r="AC88" s="354" t="str">
        <f t="shared" si="19"/>
        <v/>
      </c>
      <c r="AD88" s="355" t="str">
        <f t="shared" si="20"/>
        <v/>
      </c>
      <c r="AE88" s="172" t="str">
        <f t="shared" si="32"/>
        <v/>
      </c>
      <c r="AF88" s="173" t="str">
        <f>IFERROR(IF(T88="","",VLOOKUP(T88,Data!V:Z,4,FALSE)),"Error")</f>
        <v/>
      </c>
      <c r="AG88" s="172" t="str">
        <f t="shared" si="27"/>
        <v/>
      </c>
      <c r="AH88" s="174" t="str">
        <f t="shared" si="28"/>
        <v/>
      </c>
      <c r="AI88" s="172" t="str">
        <f t="shared" si="29"/>
        <v/>
      </c>
      <c r="AJ88" s="174" t="str">
        <f t="shared" si="30"/>
        <v/>
      </c>
    </row>
    <row r="89" spans="1:36" ht="18.75">
      <c r="A89" s="119"/>
      <c r="B89" s="451"/>
      <c r="C89" s="452"/>
      <c r="D89" s="149"/>
      <c r="E89" s="153"/>
      <c r="F89" s="155"/>
      <c r="G89" s="155"/>
      <c r="H89" s="149"/>
      <c r="I89" s="119"/>
      <c r="J89" s="312"/>
      <c r="L89" s="157"/>
      <c r="M89" s="119"/>
      <c r="O89" s="312"/>
      <c r="P89" s="312"/>
      <c r="R89" s="157"/>
      <c r="T89" s="168" t="str">
        <f t="shared" si="31"/>
        <v/>
      </c>
      <c r="U89" s="169" t="str">
        <f>IF($AE89="","",IF($H$139="USD",$AE89/(1+$AF89),IF($H$139='[1]Info I'!$G$3,$AE89/$R$12/(1+$AF89),"Error")))</f>
        <v/>
      </c>
      <c r="V89" s="170" t="str">
        <f>IF($AG89="","",IF($AH89="USD",$AG89,IF($AH89=Data!$AD$3,$AG89/$R$12,"Error")))</f>
        <v/>
      </c>
      <c r="W89" s="171" t="str">
        <f>IF($AI89="","",IF($AJ89="USD",$AI89,IF($AJ89='[1]Info I'!$G$3,$AI89/$R$12,"Error")))</f>
        <v/>
      </c>
      <c r="X89" s="169" t="str">
        <f t="shared" si="25"/>
        <v/>
      </c>
      <c r="Y89" s="332" t="str">
        <f t="shared" si="26"/>
        <v/>
      </c>
      <c r="Z89" s="351" t="str">
        <f>IF($AE89="","",IF($H$139="USD",$AE89/(1+$AF89),IF($H$139='[1]Info I'!$G$3,$AE89/$R$11/(1+$AF89),"Error")))</f>
        <v/>
      </c>
      <c r="AA89" s="352" t="str">
        <f>IF($AG89="","",IF($AH89="USD",$AG89,IF($AH89=Data!$AD$3,$AG89/$R$11,"Error")))</f>
        <v/>
      </c>
      <c r="AB89" s="353" t="str">
        <f>IF($AI89="","",IF($AJ89="USD",$AI89,IF($AJ89='[1]Info I'!$G$3,$AI89/$R$11,"Error")))</f>
        <v/>
      </c>
      <c r="AC89" s="354" t="str">
        <f t="shared" si="19"/>
        <v/>
      </c>
      <c r="AD89" s="355" t="str">
        <f t="shared" si="20"/>
        <v/>
      </c>
      <c r="AE89" s="172" t="str">
        <f t="shared" si="32"/>
        <v/>
      </c>
      <c r="AF89" s="173" t="str">
        <f>IFERROR(IF(T89="","",VLOOKUP(T89,Data!V:Z,4,FALSE)),"Error")</f>
        <v/>
      </c>
      <c r="AG89" s="172" t="str">
        <f t="shared" si="27"/>
        <v/>
      </c>
      <c r="AH89" s="174" t="str">
        <f t="shared" si="28"/>
        <v/>
      </c>
      <c r="AI89" s="172" t="str">
        <f t="shared" si="29"/>
        <v/>
      </c>
      <c r="AJ89" s="174" t="str">
        <f t="shared" si="30"/>
        <v/>
      </c>
    </row>
    <row r="90" spans="1:36" ht="18.75">
      <c r="A90" s="119"/>
      <c r="B90" s="451" t="str">
        <f>IF(Planner!G136="MM/DD/YY","",Planner!G136)</f>
        <v/>
      </c>
      <c r="C90" s="452"/>
      <c r="D90" s="149"/>
      <c r="E90" s="153"/>
      <c r="F90" s="155"/>
      <c r="G90" s="155"/>
      <c r="H90" s="149"/>
      <c r="I90" s="119"/>
      <c r="J90" s="312"/>
      <c r="L90" s="157"/>
      <c r="M90" s="119"/>
      <c r="O90" s="312"/>
      <c r="P90" s="312"/>
      <c r="R90" s="157"/>
      <c r="T90" s="168" t="str">
        <f t="shared" si="31"/>
        <v/>
      </c>
      <c r="U90" s="169" t="str">
        <f>IF($AE90="","",IF($H$139="USD",$AE90/(1+$AF90),IF($H$139='[1]Info I'!$G$3,$AE90/$R$12/(1+$AF90),"Error")))</f>
        <v/>
      </c>
      <c r="V90" s="170" t="str">
        <f>IF($AG90="","",IF($AH90="USD",$AG90,IF($AH90=Data!$AD$3,$AG90/$R$12,"Error")))</f>
        <v/>
      </c>
      <c r="W90" s="171" t="str">
        <f>IF($AI90="","",IF($AJ90="USD",$AI90,IF($AJ90='[1]Info I'!$G$3,$AI90/$R$12,"Error")))</f>
        <v/>
      </c>
      <c r="X90" s="169" t="str">
        <f t="shared" si="25"/>
        <v/>
      </c>
      <c r="Y90" s="332" t="str">
        <f t="shared" si="26"/>
        <v/>
      </c>
      <c r="Z90" s="351" t="str">
        <f>IF($AE90="","",IF($H$139="USD",$AE90/(1+$AF90),IF($H$139='[1]Info I'!$G$3,$AE90/$R$11/(1+$AF90),"Error")))</f>
        <v/>
      </c>
      <c r="AA90" s="352" t="str">
        <f>IF($AG90="","",IF($AH90="USD",$AG90,IF($AH90=Data!$AD$3,$AG90/$R$11,"Error")))</f>
        <v/>
      </c>
      <c r="AB90" s="353" t="str">
        <f>IF($AI90="","",IF($AJ90="USD",$AI90,IF($AJ90='[1]Info I'!$G$3,$AI90/$R$11,"Error")))</f>
        <v/>
      </c>
      <c r="AC90" s="354" t="str">
        <f t="shared" si="19"/>
        <v/>
      </c>
      <c r="AD90" s="355" t="str">
        <f t="shared" si="20"/>
        <v/>
      </c>
      <c r="AE90" s="172" t="str">
        <f t="shared" si="32"/>
        <v/>
      </c>
      <c r="AF90" s="173" t="str">
        <f>IFERROR(IF(T90="","",VLOOKUP(T90,Data!V:Z,4,FALSE)),"Error")</f>
        <v/>
      </c>
      <c r="AG90" s="172" t="str">
        <f t="shared" si="27"/>
        <v/>
      </c>
      <c r="AH90" s="174" t="str">
        <f t="shared" si="28"/>
        <v/>
      </c>
      <c r="AI90" s="172" t="str">
        <f t="shared" si="29"/>
        <v/>
      </c>
      <c r="AJ90" s="174" t="str">
        <f t="shared" si="30"/>
        <v/>
      </c>
    </row>
    <row r="91" spans="1:36" ht="18.75">
      <c r="A91" s="119"/>
      <c r="B91" s="451" t="str">
        <f>IF(Planner!C137="","",Planner!C137&amp;" - "&amp;Planner!F137&amp;" - "&amp;Planner!H137)</f>
        <v/>
      </c>
      <c r="C91" s="452"/>
      <c r="D91" s="149"/>
      <c r="E91" s="153"/>
      <c r="F91" s="155"/>
      <c r="G91" s="155"/>
      <c r="H91" s="149"/>
      <c r="I91" s="119"/>
      <c r="J91" s="312"/>
      <c r="L91" s="157"/>
      <c r="M91" s="119"/>
      <c r="O91" s="312"/>
      <c r="P91" s="312"/>
      <c r="R91" s="157"/>
      <c r="T91" s="168" t="str">
        <f t="shared" si="31"/>
        <v/>
      </c>
      <c r="U91" s="169" t="str">
        <f>IF($AE91="","",IF($H$139="USD",$AE91/(1+$AF91),IF($H$139='[1]Info I'!$G$3,$AE91/$R$12/(1+$AF91),"Error")))</f>
        <v/>
      </c>
      <c r="V91" s="170" t="str">
        <f>IF($AG91="","",IF($AH91="USD",$AG91,IF($AH91=Data!$AD$3,$AG91/$R$12,"Error")))</f>
        <v/>
      </c>
      <c r="W91" s="171" t="str">
        <f>IF($AI91="","",IF($AJ91="USD",$AI91,IF($AJ91='[1]Info I'!$G$3,$AI91/$R$12,"Error")))</f>
        <v/>
      </c>
      <c r="X91" s="169" t="str">
        <f t="shared" si="25"/>
        <v/>
      </c>
      <c r="Y91" s="332" t="str">
        <f t="shared" si="26"/>
        <v/>
      </c>
      <c r="Z91" s="351" t="str">
        <f>IF($AE91="","",IF($H$139="USD",$AE91/(1+$AF91),IF($H$139='[1]Info I'!$G$3,$AE91/$R$11/(1+$AF91),"Error")))</f>
        <v/>
      </c>
      <c r="AA91" s="352" t="str">
        <f>IF($AG91="","",IF($AH91="USD",$AG91,IF($AH91=Data!$AD$3,$AG91/$R$11,"Error")))</f>
        <v/>
      </c>
      <c r="AB91" s="353" t="str">
        <f>IF($AI91="","",IF($AJ91="USD",$AI91,IF($AJ91='[1]Info I'!$G$3,$AI91/$R$11,"Error")))</f>
        <v/>
      </c>
      <c r="AC91" s="354" t="str">
        <f t="shared" si="19"/>
        <v/>
      </c>
      <c r="AD91" s="355" t="str">
        <f t="shared" si="20"/>
        <v/>
      </c>
      <c r="AE91" s="172" t="str">
        <f t="shared" si="32"/>
        <v/>
      </c>
      <c r="AF91" s="173" t="str">
        <f>IFERROR(IF(T91="","",VLOOKUP(T91,Data!V:Z,4,FALSE)),"Error")</f>
        <v/>
      </c>
      <c r="AG91" s="172" t="str">
        <f t="shared" si="27"/>
        <v/>
      </c>
      <c r="AH91" s="174" t="str">
        <f t="shared" si="28"/>
        <v/>
      </c>
      <c r="AI91" s="172" t="str">
        <f t="shared" si="29"/>
        <v/>
      </c>
      <c r="AJ91" s="174" t="str">
        <f t="shared" si="30"/>
        <v/>
      </c>
    </row>
    <row r="92" spans="1:36" ht="18.75">
      <c r="A92" s="119"/>
      <c r="B92" s="451" t="str">
        <f>IF(Planner!C138="","","Appetizers - "&amp;Planner!C138)</f>
        <v/>
      </c>
      <c r="C92" s="452"/>
      <c r="D92" s="148" t="str">
        <f>IF(B92="","",_xlfn.XLOOKUP(Planner!$C$138,Data!$P:$P,Data!$N:$N,""))</f>
        <v/>
      </c>
      <c r="E92" s="151">
        <f>Planner!C139</f>
        <v>0</v>
      </c>
      <c r="F92" s="155">
        <f>_xlfn.XLOOKUP(Planner!$C$138,Data!$P:$P,Data!$Q:$Q,"")</f>
        <v>0</v>
      </c>
      <c r="G92" s="155">
        <f>IFERROR(E92*F92,"")</f>
        <v>0</v>
      </c>
      <c r="H92" s="148" t="s">
        <v>21</v>
      </c>
      <c r="I92" s="119"/>
      <c r="J92" s="312"/>
      <c r="L92" s="157"/>
      <c r="M92" s="247" t="str">
        <f>IF(R92="","",_xlfn.XLOOKUP(R92,Data!P:P,Data!M:M))</f>
        <v/>
      </c>
      <c r="N92" s="228">
        <f>IF(E92="","",E92)</f>
        <v>0</v>
      </c>
      <c r="O92" s="228" t="str">
        <f>IF(R92="","",_xlfn.XLOOKUP(R92,Data!P:P,Data!R:R))</f>
        <v/>
      </c>
      <c r="P92" s="243" t="str">
        <f>+IF(R92="","",N92*O92)</f>
        <v/>
      </c>
      <c r="Q92" s="320" t="str">
        <f>IF(R92="","",_xlfn.XLOOKUP(R92,Data!P:P,Data!S:S))</f>
        <v/>
      </c>
      <c r="R92" s="248" t="str">
        <f>IF(D92="","",RIGHT($B92,SEARCH("-",$B92)+2))</f>
        <v/>
      </c>
      <c r="T92" s="168" t="str">
        <f t="shared" si="31"/>
        <v/>
      </c>
      <c r="U92" s="169" t="str">
        <f>IF($AE92="","",IF($H$139="USD",$AE92/(1+$AF92),IF($H$139='[1]Info I'!$G$3,$AE92/$R$12/(1+$AF92),"Error")))</f>
        <v/>
      </c>
      <c r="V92" s="170" t="str">
        <f>IF($AG92="","",IF($AH92="USD",$AG92,IF($AH92=Data!$AD$3,$AG92/$R$12,"Error")))</f>
        <v/>
      </c>
      <c r="W92" s="171" t="str">
        <f>IF($AI92="","",IF($AJ92="USD",$AI92,IF($AJ92='[1]Info I'!$G$3,$AI92/$R$12,"Error")))</f>
        <v/>
      </c>
      <c r="X92" s="169" t="str">
        <f t="shared" si="25"/>
        <v/>
      </c>
      <c r="Y92" s="332" t="str">
        <f t="shared" si="26"/>
        <v/>
      </c>
      <c r="Z92" s="351" t="str">
        <f>IF($AE92="","",IF($H$139="USD",$AE92/(1+$AF92),IF($H$139='[1]Info I'!$G$3,$AE92/$R$11/(1+$AF92),"Error")))</f>
        <v/>
      </c>
      <c r="AA92" s="352" t="str">
        <f>IF($AG92="","",IF($AH92="USD",$AG92,IF($AH92=Data!$AD$3,$AG92/$R$11,"Error")))</f>
        <v/>
      </c>
      <c r="AB92" s="353" t="str">
        <f>IF($AI92="","",IF($AJ92="USD",$AI92,IF($AJ92='[1]Info I'!$G$3,$AI92/$R$11,"Error")))</f>
        <v/>
      </c>
      <c r="AC92" s="354" t="str">
        <f t="shared" si="19"/>
        <v/>
      </c>
      <c r="AD92" s="355" t="str">
        <f t="shared" si="20"/>
        <v/>
      </c>
      <c r="AE92" s="172" t="str">
        <f t="shared" si="32"/>
        <v/>
      </c>
      <c r="AF92" s="173" t="str">
        <f>IFERROR(IF(T92="","",VLOOKUP(T92,Data!V:Z,4,FALSE)),"Error")</f>
        <v/>
      </c>
      <c r="AG92" s="172" t="str">
        <f t="shared" si="27"/>
        <v/>
      </c>
      <c r="AH92" s="174" t="str">
        <f t="shared" si="28"/>
        <v/>
      </c>
      <c r="AI92" s="172" t="str">
        <f t="shared" si="29"/>
        <v/>
      </c>
      <c r="AJ92" s="174" t="str">
        <f t="shared" si="30"/>
        <v/>
      </c>
    </row>
    <row r="93" spans="1:36" ht="18.75">
      <c r="A93" s="119"/>
      <c r="B93" s="459" t="str">
        <f>IF(Planner!G145="MM/DD/YY","",Planner!G145)</f>
        <v/>
      </c>
      <c r="C93" s="460"/>
      <c r="D93" s="148"/>
      <c r="E93" s="151"/>
      <c r="F93" s="155"/>
      <c r="G93" s="155"/>
      <c r="H93" s="148"/>
      <c r="I93" s="119"/>
      <c r="J93" s="312"/>
      <c r="L93" s="157"/>
      <c r="M93" s="119"/>
      <c r="O93" s="312"/>
      <c r="P93" s="312"/>
      <c r="R93" s="157"/>
      <c r="T93" s="168" t="str">
        <f t="shared" si="31"/>
        <v/>
      </c>
      <c r="U93" s="169" t="str">
        <f>IF($AE93="","",IF($H$139="USD",$AE93/(1+$AF93),IF($H$139='[1]Info I'!$G$3,$AE93/$R$12/(1+$AF93),"Error")))</f>
        <v/>
      </c>
      <c r="V93" s="170" t="str">
        <f>IF($AG93="","",IF($AH93="USD",$AG93,IF($AH93=Data!$AD$3,$AG93/$R$12,"Error")))</f>
        <v/>
      </c>
      <c r="W93" s="171" t="str">
        <f>IF($AI93="","",IF($AJ93="USD",$AI93,IF($AJ93='[1]Info I'!$G$3,$AI93/$R$12,"Error")))</f>
        <v/>
      </c>
      <c r="X93" s="169" t="str">
        <f t="shared" si="25"/>
        <v/>
      </c>
      <c r="Y93" s="332" t="str">
        <f t="shared" si="26"/>
        <v/>
      </c>
      <c r="Z93" s="351" t="str">
        <f>IF($AE93="","",IF($H$139="USD",$AE93/(1+$AF93),IF($H$139='[1]Info I'!$G$3,$AE93/$R$11/(1+$AF93),"Error")))</f>
        <v/>
      </c>
      <c r="AA93" s="352" t="str">
        <f>IF($AG93="","",IF($AH93="USD",$AG93,IF($AH93=Data!$AD$3,$AG93/$R$11,"Error")))</f>
        <v/>
      </c>
      <c r="AB93" s="353" t="str">
        <f>IF($AI93="","",IF($AJ93="USD",$AI93,IF($AJ93='[1]Info I'!$G$3,$AI93/$R$11,"Error")))</f>
        <v/>
      </c>
      <c r="AC93" s="354" t="str">
        <f t="shared" si="19"/>
        <v/>
      </c>
      <c r="AD93" s="355" t="str">
        <f t="shared" si="20"/>
        <v/>
      </c>
      <c r="AE93" s="172" t="str">
        <f t="shared" si="32"/>
        <v/>
      </c>
      <c r="AF93" s="173" t="str">
        <f>IFERROR(IF(T93="","",VLOOKUP(T93,Data!V:Z,4,FALSE)),"Error")</f>
        <v/>
      </c>
      <c r="AG93" s="172" t="str">
        <f t="shared" si="27"/>
        <v/>
      </c>
      <c r="AH93" s="174" t="str">
        <f t="shared" si="28"/>
        <v/>
      </c>
      <c r="AI93" s="172" t="str">
        <f t="shared" si="29"/>
        <v/>
      </c>
      <c r="AJ93" s="174" t="str">
        <f t="shared" si="30"/>
        <v/>
      </c>
    </row>
    <row r="94" spans="1:36" ht="18.75">
      <c r="A94" s="119"/>
      <c r="B94" s="451"/>
      <c r="C94" s="452"/>
      <c r="D94" s="149"/>
      <c r="E94" s="153"/>
      <c r="F94" s="155"/>
      <c r="G94" s="155"/>
      <c r="H94" s="149"/>
      <c r="I94" s="119"/>
      <c r="J94" s="312"/>
      <c r="L94" s="157"/>
      <c r="M94" s="119"/>
      <c r="O94" s="312"/>
      <c r="P94" s="312"/>
      <c r="R94" s="157"/>
      <c r="T94" s="168" t="str">
        <f t="shared" si="31"/>
        <v/>
      </c>
      <c r="U94" s="169" t="str">
        <f>IF($AE94="","",IF($H$139="USD",$AE94/(1+$AF94),IF($H$139='[1]Info I'!$G$3,$AE94/$R$12/(1+$AF94),"Error")))</f>
        <v/>
      </c>
      <c r="V94" s="170" t="str">
        <f>IF($AG94="","",IF($AH94="USD",$AG94,IF($AH94=Data!$AD$3,$AG94/$R$12,"Error")))</f>
        <v/>
      </c>
      <c r="W94" s="171" t="str">
        <f>IF($AI94="","",IF($AJ94="USD",$AI94,IF($AJ94='[1]Info I'!$G$3,$AI94/$R$12,"Error")))</f>
        <v/>
      </c>
      <c r="X94" s="169" t="str">
        <f t="shared" si="25"/>
        <v/>
      </c>
      <c r="Y94" s="332" t="str">
        <f t="shared" si="26"/>
        <v/>
      </c>
      <c r="Z94" s="351" t="str">
        <f>IF($AE94="","",IF($H$139="USD",$AE94/(1+$AF94),IF($H$139='[1]Info I'!$G$3,$AE94/$R$11/(1+$AF94),"Error")))</f>
        <v/>
      </c>
      <c r="AA94" s="352" t="str">
        <f>IF($AG94="","",IF($AH94="USD",$AG94,IF($AH94=Data!$AD$3,$AG94/$R$11,"Error")))</f>
        <v/>
      </c>
      <c r="AB94" s="353" t="str">
        <f>IF($AI94="","",IF($AJ94="USD",$AI94,IF($AJ94='[1]Info I'!$G$3,$AI94/$R$11,"Error")))</f>
        <v/>
      </c>
      <c r="AC94" s="354" t="str">
        <f t="shared" si="19"/>
        <v/>
      </c>
      <c r="AD94" s="355" t="str">
        <f t="shared" si="20"/>
        <v/>
      </c>
      <c r="AE94" s="172" t="str">
        <f t="shared" si="32"/>
        <v/>
      </c>
      <c r="AF94" s="173" t="str">
        <f>IFERROR(IF(T94="","",VLOOKUP(T94,Data!V:Z,4,FALSE)),"Error")</f>
        <v/>
      </c>
      <c r="AG94" s="172" t="str">
        <f t="shared" si="27"/>
        <v/>
      </c>
      <c r="AH94" s="174" t="str">
        <f t="shared" si="28"/>
        <v/>
      </c>
      <c r="AI94" s="172" t="str">
        <f t="shared" si="29"/>
        <v/>
      </c>
      <c r="AJ94" s="174" t="str">
        <f t="shared" si="30"/>
        <v/>
      </c>
    </row>
    <row r="95" spans="1:36" ht="18.75">
      <c r="A95" s="119"/>
      <c r="B95" s="451" t="str">
        <f>IF(Planner!C146="","",Planner!C146&amp;" - "&amp;Planner!G146&amp;" - "&amp;Planner!I146)</f>
        <v/>
      </c>
      <c r="C95" s="452"/>
      <c r="D95" s="149"/>
      <c r="E95" s="153"/>
      <c r="F95" s="155"/>
      <c r="G95" s="155"/>
      <c r="H95" s="149"/>
      <c r="I95" s="119"/>
      <c r="J95" s="312"/>
      <c r="L95" s="157"/>
      <c r="M95" s="119"/>
      <c r="O95" s="312"/>
      <c r="P95" s="312"/>
      <c r="R95" s="157"/>
      <c r="T95" s="168" t="str">
        <f t="shared" si="31"/>
        <v/>
      </c>
      <c r="U95" s="169" t="str">
        <f>IF($AE95="","",IF($H$139="USD",$AE95/(1+$AF95),IF($H$139='[1]Info I'!$G$3,$AE95/$R$12/(1+$AF95),"Error")))</f>
        <v/>
      </c>
      <c r="V95" s="170" t="str">
        <f>IF($AG95="","",IF($AH95="USD",$AG95,IF($AH95=Data!$AD$3,$AG95/$R$12,"Error")))</f>
        <v/>
      </c>
      <c r="W95" s="171" t="str">
        <f>IF($AI95="","",IF($AJ95="USD",$AI95,IF($AJ95='[1]Info I'!$G$3,$AI95/$R$12,"Error")))</f>
        <v/>
      </c>
      <c r="X95" s="169" t="str">
        <f t="shared" si="25"/>
        <v/>
      </c>
      <c r="Y95" s="332" t="str">
        <f t="shared" si="26"/>
        <v/>
      </c>
      <c r="Z95" s="351" t="str">
        <f>IF($AE95="","",IF($H$139="USD",$AE95/(1+$AF95),IF($H$139='[1]Info I'!$G$3,$AE95/$R$11/(1+$AF95),"Error")))</f>
        <v/>
      </c>
      <c r="AA95" s="352" t="str">
        <f>IF($AG95="","",IF($AH95="USD",$AG95,IF($AH95=Data!$AD$3,$AG95/$R$11,"Error")))</f>
        <v/>
      </c>
      <c r="AB95" s="353" t="str">
        <f>IF($AI95="","",IF($AJ95="USD",$AI95,IF($AJ95='[1]Info I'!$G$3,$AI95/$R$11,"Error")))</f>
        <v/>
      </c>
      <c r="AC95" s="354" t="str">
        <f t="shared" si="19"/>
        <v/>
      </c>
      <c r="AD95" s="355" t="str">
        <f t="shared" si="20"/>
        <v/>
      </c>
      <c r="AE95" s="172" t="str">
        <f t="shared" si="32"/>
        <v/>
      </c>
      <c r="AF95" s="173" t="str">
        <f>IFERROR(IF(T95="","",VLOOKUP(T95,Data!V:Z,4,FALSE)),"Error")</f>
        <v/>
      </c>
      <c r="AG95" s="172" t="str">
        <f t="shared" si="27"/>
        <v/>
      </c>
      <c r="AH95" s="174" t="str">
        <f t="shared" si="28"/>
        <v/>
      </c>
      <c r="AI95" s="172" t="str">
        <f t="shared" si="29"/>
        <v/>
      </c>
      <c r="AJ95" s="174" t="str">
        <f t="shared" si="30"/>
        <v/>
      </c>
    </row>
    <row r="96" spans="1:36" ht="18.75">
      <c r="A96" s="119"/>
      <c r="B96" s="451" t="str">
        <f>IF(Planner!C148="","",LEFT(Planner!C148,SEARCH(" (",Planner!C148)-1))</f>
        <v/>
      </c>
      <c r="C96" s="452"/>
      <c r="D96" s="148" t="str">
        <f>IF(B96="","",_xlfn.XLOOKUP(Planner!C148,Data!$P:$P,Data!$N:$N,""))</f>
        <v/>
      </c>
      <c r="E96" s="151">
        <f>Planner!C147+Planner!G147</f>
        <v>0</v>
      </c>
      <c r="F96" s="155">
        <f>_xlfn.XLOOKUP(Planner!C148,Data!$P:$P,Data!$Q:$Q,"")</f>
        <v>0</v>
      </c>
      <c r="G96" s="155">
        <f t="shared" ref="G96:G125" si="33">IFERROR(E96*F96,"")</f>
        <v>0</v>
      </c>
      <c r="H96" s="148" t="s">
        <v>21</v>
      </c>
      <c r="I96" s="119"/>
      <c r="J96" s="312"/>
      <c r="L96" s="157"/>
      <c r="M96" s="247" t="str">
        <f>IF(R96="","",_xlfn.XLOOKUP(R96&amp;" (3 hrs of Open Bar)",Data!P:P,Data!M:M))</f>
        <v/>
      </c>
      <c r="N96" s="228">
        <f>IF(E96="","",E96)</f>
        <v>0</v>
      </c>
      <c r="O96" s="228" t="str">
        <f>IF(R96="","",_xlfn.XLOOKUP(R96&amp;" (3 hrs of Open Bar)",Data!P:P,Data!R:R))</f>
        <v/>
      </c>
      <c r="P96" s="243" t="str">
        <f>+IF(R96="","",N96*O96)</f>
        <v/>
      </c>
      <c r="Q96" s="320" t="str">
        <f>IF(R96="","",_xlfn.XLOOKUP(R96&amp;" (3 hrs of Open Bar)",Data!P:P,Data!S:S))</f>
        <v/>
      </c>
      <c r="R96" s="248" t="str">
        <f>IF(D96="","",B96)</f>
        <v/>
      </c>
      <c r="T96" s="168" t="str">
        <f t="shared" si="31"/>
        <v/>
      </c>
      <c r="U96" s="169" t="str">
        <f>IF($AE96="","",IF($H$139="USD",$AE96/(1+$AF96),IF($H$139='[1]Info I'!$G$3,$AE96/$R$12/(1+$AF96),"Error")))</f>
        <v/>
      </c>
      <c r="V96" s="170" t="str">
        <f>IF($AG96="","",IF($AH96="USD",$AG96,IF($AH96=Data!$AD$3,$AG96/$R$12,"Error")))</f>
        <v/>
      </c>
      <c r="W96" s="171" t="str">
        <f>IF($AI96="","",IF($AJ96="USD",$AI96,IF($AJ96='[1]Info I'!$G$3,$AI96/$R$12,"Error")))</f>
        <v/>
      </c>
      <c r="X96" s="169" t="str">
        <f t="shared" si="25"/>
        <v/>
      </c>
      <c r="Y96" s="332" t="str">
        <f t="shared" si="26"/>
        <v/>
      </c>
      <c r="Z96" s="351" t="str">
        <f>IF($AE96="","",IF($H$139="USD",$AE96/(1+$AF96),IF($H$139='[1]Info I'!$G$3,$AE96/$R$11/(1+$AF96),"Error")))</f>
        <v/>
      </c>
      <c r="AA96" s="352" t="str">
        <f>IF($AG96="","",IF($AH96="USD",$AG96,IF($AH96=Data!$AD$3,$AG96/$R$11,"Error")))</f>
        <v/>
      </c>
      <c r="AB96" s="353" t="str">
        <f>IF($AI96="","",IF($AJ96="USD",$AI96,IF($AJ96='[1]Info I'!$G$3,$AI96/$R$11,"Error")))</f>
        <v/>
      </c>
      <c r="AC96" s="354" t="str">
        <f t="shared" si="19"/>
        <v/>
      </c>
      <c r="AD96" s="355" t="str">
        <f t="shared" si="20"/>
        <v/>
      </c>
      <c r="AE96" s="172" t="str">
        <f t="shared" si="32"/>
        <v/>
      </c>
      <c r="AF96" s="173" t="str">
        <f>IFERROR(IF(T96="","",VLOOKUP(T96,Data!V:Z,4,FALSE)),"Error")</f>
        <v/>
      </c>
      <c r="AG96" s="172" t="str">
        <f t="shared" si="27"/>
        <v/>
      </c>
      <c r="AH96" s="174" t="str">
        <f t="shared" si="28"/>
        <v/>
      </c>
      <c r="AI96" s="172" t="str">
        <f t="shared" si="29"/>
        <v/>
      </c>
      <c r="AJ96" s="174" t="str">
        <f t="shared" si="30"/>
        <v/>
      </c>
    </row>
    <row r="97" spans="1:36" ht="18.75">
      <c r="A97" s="119"/>
      <c r="B97" s="451" t="str">
        <f>IF(B96="","","Open Bar (3 hrs included in buffet)")</f>
        <v/>
      </c>
      <c r="C97" s="452"/>
      <c r="D97" s="148" t="str">
        <f>_xlfn.XLOOKUP(Invoice!B97,Data!$P:$P,Data!$N:$N,"")</f>
        <v/>
      </c>
      <c r="E97" s="151">
        <f>Planner!C147</f>
        <v>0</v>
      </c>
      <c r="F97" s="155" t="str">
        <f>_xlfn.XLOOKUP($B97,Data!$P:$P,Data!$Q:$Q,"")</f>
        <v/>
      </c>
      <c r="G97" s="155" t="str">
        <f t="shared" si="33"/>
        <v/>
      </c>
      <c r="H97" s="148" t="s">
        <v>21</v>
      </c>
      <c r="I97" s="119"/>
      <c r="J97" s="312"/>
      <c r="L97" s="157"/>
      <c r="M97" s="247" t="str">
        <f>IF(R97="","",_xlfn.XLOOKUP(R97,Data!P:P,Data!M:M))</f>
        <v/>
      </c>
      <c r="N97" s="228">
        <f>IF(E97="","",E97)</f>
        <v>0</v>
      </c>
      <c r="O97" s="228" t="str">
        <f>IF(R97="","",_xlfn.XLOOKUP(R97,Data!P:P,Data!R:R))</f>
        <v/>
      </c>
      <c r="P97" s="243" t="str">
        <f>+IF(R97="","",N97*O97)</f>
        <v/>
      </c>
      <c r="Q97" s="320" t="str">
        <f>IF(R97="","",_xlfn.XLOOKUP(R97,Data!P:P,Data!S:S))</f>
        <v/>
      </c>
      <c r="R97" s="248" t="str">
        <f>IF(D97="","",B97)</f>
        <v/>
      </c>
      <c r="T97" s="168" t="str">
        <f t="shared" si="31"/>
        <v/>
      </c>
      <c r="U97" s="169" t="str">
        <f>IF($AE97="","",IF($H$139="USD",$AE97/(1+$AF97),IF($H$139='[1]Info I'!$G$3,$AE97/$R$12/(1+$AF97),"Error")))</f>
        <v/>
      </c>
      <c r="V97" s="170" t="str">
        <f>IF($AG97="","",IF($AH97="USD",$AG97,IF($AH97=Data!$AD$3,$AG97/$R$12,"Error")))</f>
        <v/>
      </c>
      <c r="W97" s="171" t="str">
        <f>IF($AI97="","",IF($AJ97="USD",$AI97,IF($AJ97='[1]Info I'!$G$3,$AI97/$R$12,"Error")))</f>
        <v/>
      </c>
      <c r="X97" s="169" t="str">
        <f t="shared" si="25"/>
        <v/>
      </c>
      <c r="Y97" s="332" t="str">
        <f t="shared" si="26"/>
        <v/>
      </c>
      <c r="Z97" s="351" t="str">
        <f>IF($AE97="","",IF($H$139="USD",$AE97/(1+$AF97),IF($H$139='[1]Info I'!$G$3,$AE97/$R$11/(1+$AF97),"Error")))</f>
        <v/>
      </c>
      <c r="AA97" s="352" t="str">
        <f>IF($AG97="","",IF($AH97="USD",$AG97,IF($AH97=Data!$AD$3,$AG97/$R$11,"Error")))</f>
        <v/>
      </c>
      <c r="AB97" s="353" t="str">
        <f>IF($AI97="","",IF($AJ97="USD",$AI97,IF($AJ97='[1]Info I'!$G$3,$AI97/$R$11,"Error")))</f>
        <v/>
      </c>
      <c r="AC97" s="354" t="str">
        <f t="shared" si="19"/>
        <v/>
      </c>
      <c r="AD97" s="355" t="str">
        <f t="shared" si="20"/>
        <v/>
      </c>
      <c r="AE97" s="172" t="str">
        <f t="shared" si="32"/>
        <v/>
      </c>
      <c r="AF97" s="173" t="str">
        <f>IFERROR(IF(T97="","",VLOOKUP(T97,Data!V:Z,4,FALSE)),"Error")</f>
        <v/>
      </c>
      <c r="AG97" s="172" t="str">
        <f t="shared" si="27"/>
        <v/>
      </c>
      <c r="AH97" s="174" t="str">
        <f t="shared" si="28"/>
        <v/>
      </c>
      <c r="AI97" s="172" t="str">
        <f t="shared" si="29"/>
        <v/>
      </c>
      <c r="AJ97" s="174" t="str">
        <f t="shared" si="30"/>
        <v/>
      </c>
    </row>
    <row r="98" spans="1:36" ht="18.75">
      <c r="A98" s="119"/>
      <c r="B98" s="451" t="str">
        <f>IF(OR(Planner!E147="",Planner!E147=0),"",B96&amp;" Kids")</f>
        <v/>
      </c>
      <c r="C98" s="452"/>
      <c r="D98" s="148" t="str">
        <f>IF(B98="","",D96)</f>
        <v/>
      </c>
      <c r="E98" s="151">
        <f>Planner!E147</f>
        <v>0</v>
      </c>
      <c r="F98" s="155">
        <f>F96/2</f>
        <v>0</v>
      </c>
      <c r="G98" s="155">
        <f t="shared" si="33"/>
        <v>0</v>
      </c>
      <c r="H98" s="148" t="s">
        <v>21</v>
      </c>
      <c r="I98" s="119"/>
      <c r="J98" s="312"/>
      <c r="L98" s="157"/>
      <c r="M98" s="247" t="str">
        <f>IF(R98="","",_xlfn.XLOOKUP(R98,Data!P:P,Data!M:M))</f>
        <v/>
      </c>
      <c r="N98" s="228">
        <f>IF(E98="","",E98)</f>
        <v>0</v>
      </c>
      <c r="O98" s="228" t="str">
        <f>IF(R98="","",_xlfn.XLOOKUP(R98,Data!P:P,Data!R:R))</f>
        <v/>
      </c>
      <c r="P98" s="243" t="str">
        <f>+IF(R98="","",N98*O98)</f>
        <v/>
      </c>
      <c r="Q98" s="320" t="str">
        <f>IF(R98="","",_xlfn.XLOOKUP(R98,Data!P:P,Data!S:S))</f>
        <v/>
      </c>
      <c r="R98" s="248" t="str">
        <f>IF(D98="","",B98)</f>
        <v/>
      </c>
      <c r="T98" s="168" t="str">
        <f t="shared" si="31"/>
        <v/>
      </c>
      <c r="U98" s="169" t="str">
        <f>IF($AE98="","",IF($H$139="USD",$AE98/(1+$AF98),IF($H$139='[1]Info I'!$G$3,$AE98/$R$12/(1+$AF98),"Error")))</f>
        <v/>
      </c>
      <c r="V98" s="170" t="str">
        <f>IF($AG98="","",IF($AH98="USD",$AG98,IF($AH98=Data!$AD$3,$AG98/$R$12,"Error")))</f>
        <v/>
      </c>
      <c r="W98" s="171" t="str">
        <f>IF($AI98="","",IF($AJ98="USD",$AI98,IF($AJ98='[1]Info I'!$G$3,$AI98/$R$12,"Error")))</f>
        <v/>
      </c>
      <c r="X98" s="169" t="str">
        <f t="shared" si="25"/>
        <v/>
      </c>
      <c r="Y98" s="332" t="str">
        <f t="shared" si="26"/>
        <v/>
      </c>
      <c r="Z98" s="351" t="str">
        <f>IF($AE98="","",IF($H$139="USD",$AE98/(1+$AF98),IF($H$139='[1]Info I'!$G$3,$AE98/$R$11/(1+$AF98),"Error")))</f>
        <v/>
      </c>
      <c r="AA98" s="352" t="str">
        <f>IF($AG98="","",IF($AH98="USD",$AG98,IF($AH98=Data!$AD$3,$AG98/$R$11,"Error")))</f>
        <v/>
      </c>
      <c r="AB98" s="353" t="str">
        <f>IF($AI98="","",IF($AJ98="USD",$AI98,IF($AJ98='[1]Info I'!$G$3,$AI98/$R$11,"Error")))</f>
        <v/>
      </c>
      <c r="AC98" s="354" t="str">
        <f t="shared" si="19"/>
        <v/>
      </c>
      <c r="AD98" s="355" t="str">
        <f t="shared" si="20"/>
        <v/>
      </c>
      <c r="AE98" s="172" t="str">
        <f t="shared" si="32"/>
        <v/>
      </c>
      <c r="AF98" s="173" t="str">
        <f>IFERROR(IF(T98="","",VLOOKUP(T98,Data!V:Z,4,FALSE)),"Error")</f>
        <v/>
      </c>
      <c r="AG98" s="172" t="str">
        <f t="shared" si="27"/>
        <v/>
      </c>
      <c r="AH98" s="174" t="str">
        <f t="shared" si="28"/>
        <v/>
      </c>
      <c r="AI98" s="172" t="str">
        <f t="shared" si="29"/>
        <v/>
      </c>
      <c r="AJ98" s="174" t="str">
        <f t="shared" si="30"/>
        <v/>
      </c>
    </row>
    <row r="99" spans="1:36" ht="18.75">
      <c r="A99" s="119"/>
      <c r="B99" s="451" t="str">
        <f>IF(Planner!C149="","",Planner!C149)</f>
        <v/>
      </c>
      <c r="C99" s="452"/>
      <c r="D99" s="148" t="str">
        <f>_xlfn.XLOOKUP(Invoice!B99,Data!$P:$P,Data!$N:$N,"")</f>
        <v/>
      </c>
      <c r="E99" s="151" t="str">
        <f>IF(B99="","",IF(_xlfn.XLOOKUP(B99,Data!$P:$P,Data!$T:$T,"")=1,"1",(Planner!$C$68+Planner!$E$68)))</f>
        <v/>
      </c>
      <c r="F99" s="155" t="str">
        <f>_xlfn.XLOOKUP($B99,Data!$P:$P,Data!$Q:$Q,"")</f>
        <v/>
      </c>
      <c r="G99" s="155" t="str">
        <f t="shared" si="33"/>
        <v/>
      </c>
      <c r="H99" s="148" t="s">
        <v>21</v>
      </c>
      <c r="I99" s="119"/>
      <c r="J99" s="312"/>
      <c r="L99" s="157"/>
      <c r="M99" s="247" t="str">
        <f>IF(R99="","",_xlfn.XLOOKUP(R99,Data!P:P,Data!M:M))</f>
        <v/>
      </c>
      <c r="N99" s="228" t="str">
        <f>IF(E99="","",E99)</f>
        <v/>
      </c>
      <c r="O99" s="228" t="str">
        <f>IF(R99="","",_xlfn.XLOOKUP(R99,Data!P:P,Data!R:R))</f>
        <v/>
      </c>
      <c r="P99" s="243" t="str">
        <f>+IF(R99="","",N99*O99)</f>
        <v/>
      </c>
      <c r="Q99" s="320" t="str">
        <f>IF(R99="","",_xlfn.XLOOKUP(R99,Data!P:P,Data!S:S))</f>
        <v/>
      </c>
      <c r="R99" s="248" t="str">
        <f>IF(D99="","",B99)</f>
        <v/>
      </c>
      <c r="T99" s="168" t="str">
        <f t="shared" si="31"/>
        <v/>
      </c>
      <c r="U99" s="169" t="str">
        <f>IF($AE99="","",IF($H$139="USD",$AE99/(1+$AF99),IF($H$139='[1]Info I'!$G$3,$AE99/$R$12/(1+$AF99),"Error")))</f>
        <v/>
      </c>
      <c r="V99" s="170" t="str">
        <f>IF($AG99="","",IF($AH99="USD",$AG99,IF($AH99=Data!$AD$3,$AG99/$R$12,"Error")))</f>
        <v/>
      </c>
      <c r="W99" s="171" t="str">
        <f>IF($AI99="","",IF($AJ99="USD",$AI99,IF($AJ99='[1]Info I'!$G$3,$AI99/$R$12,"Error")))</f>
        <v/>
      </c>
      <c r="X99" s="169" t="str">
        <f t="shared" si="25"/>
        <v/>
      </c>
      <c r="Y99" s="332" t="str">
        <f t="shared" si="26"/>
        <v/>
      </c>
      <c r="Z99" s="351" t="str">
        <f>IF($AE99="","",IF($H$139="USD",$AE99/(1+$AF99),IF($H$139='[1]Info I'!$G$3,$AE99/$R$11/(1+$AF99),"Error")))</f>
        <v/>
      </c>
      <c r="AA99" s="352" t="str">
        <f>IF($AG99="","",IF($AH99="USD",$AG99,IF($AH99=Data!$AD$3,$AG99/$R$11,"Error")))</f>
        <v/>
      </c>
      <c r="AB99" s="353" t="str">
        <f>IF($AI99="","",IF($AJ99="USD",$AI99,IF($AJ99='[1]Info I'!$G$3,$AI99/$R$11,"Error")))</f>
        <v/>
      </c>
      <c r="AC99" s="354" t="str">
        <f t="shared" si="19"/>
        <v/>
      </c>
      <c r="AD99" s="355" t="str">
        <f t="shared" si="20"/>
        <v/>
      </c>
      <c r="AE99" s="172" t="str">
        <f t="shared" si="32"/>
        <v/>
      </c>
      <c r="AF99" s="173" t="str">
        <f>IFERROR(IF(T99="","",VLOOKUP(T99,Data!V:Z,4,FALSE)),"Error")</f>
        <v/>
      </c>
      <c r="AG99" s="172" t="str">
        <f t="shared" si="27"/>
        <v/>
      </c>
      <c r="AH99" s="174" t="str">
        <f t="shared" si="28"/>
        <v/>
      </c>
      <c r="AI99" s="172" t="str">
        <f t="shared" si="29"/>
        <v/>
      </c>
      <c r="AJ99" s="174" t="str">
        <f t="shared" si="30"/>
        <v/>
      </c>
    </row>
    <row r="100" spans="1:36" ht="18.75">
      <c r="A100" s="119"/>
      <c r="B100" s="451" t="str">
        <f>IF(Planner!C150="","",Planner!C150)</f>
        <v/>
      </c>
      <c r="C100" s="452"/>
      <c r="D100" s="148" t="str">
        <f>_xlfn.XLOOKUP(Invoice!B100,Data!$P:$P,Data!$N:$N,"")</f>
        <v/>
      </c>
      <c r="E100" s="151" t="str">
        <f>IF(B100="","",IF(_xlfn.XLOOKUP(B100,Data!$P:$P,Data!$T:$T,"")=1,"1",(Planner!$C$68+Planner!$E$68)))</f>
        <v/>
      </c>
      <c r="F100" s="155" t="str">
        <f>_xlfn.XLOOKUP($B100,Data!$P:$P,Data!$Q:$Q,"")</f>
        <v/>
      </c>
      <c r="G100" s="155" t="str">
        <f t="shared" si="33"/>
        <v/>
      </c>
      <c r="H100" s="148" t="s">
        <v>21</v>
      </c>
      <c r="I100" s="119"/>
      <c r="J100" s="312"/>
      <c r="L100" s="157"/>
      <c r="M100" s="247" t="str">
        <f>IF(R100="","",_xlfn.XLOOKUP(R100,Data!P:P,Data!M:M))</f>
        <v/>
      </c>
      <c r="N100" s="228" t="str">
        <f t="shared" ref="N100:N105" si="34">IF(E100="","",E100)</f>
        <v/>
      </c>
      <c r="O100" s="228" t="str">
        <f>IF(R100="","",_xlfn.XLOOKUP(R100,Data!P:P,Data!R:R))</f>
        <v/>
      </c>
      <c r="P100" s="243" t="str">
        <f t="shared" ref="P100:P105" si="35">+IF(R100="","",N100*O100)</f>
        <v/>
      </c>
      <c r="Q100" s="320" t="str">
        <f>IF(R100="","",_xlfn.XLOOKUP(R100,Data!P:P,Data!S:S))</f>
        <v/>
      </c>
      <c r="R100" s="248" t="str">
        <f t="shared" ref="R100:R105" si="36">IF(D100="","",B100)</f>
        <v/>
      </c>
      <c r="T100" s="168" t="str">
        <f t="shared" si="31"/>
        <v/>
      </c>
      <c r="U100" s="169" t="str">
        <f>IF($AE100="","",IF($H$139="USD",$AE100/(1+$AF100),IF($H$139='[1]Info I'!$G$3,$AE100/$R$12/(1+$AF100),"Error")))</f>
        <v/>
      </c>
      <c r="V100" s="170" t="str">
        <f>IF($AG100="","",IF($AH100="USD",$AG100,IF($AH100=Data!$AD$3,$AG100/$R$12,"Error")))</f>
        <v/>
      </c>
      <c r="W100" s="171" t="str">
        <f>IF($AI100="","",IF($AJ100="USD",$AI100,IF($AJ100='[1]Info I'!$G$3,$AI100/$R$12,"Error")))</f>
        <v/>
      </c>
      <c r="X100" s="169" t="str">
        <f t="shared" si="25"/>
        <v/>
      </c>
      <c r="Y100" s="332" t="str">
        <f t="shared" si="26"/>
        <v/>
      </c>
      <c r="Z100" s="351" t="str">
        <f>IF($AE100="","",IF($H$139="USD",$AE100/(1+$AF100),IF($H$139='[1]Info I'!$G$3,$AE100/$R$11/(1+$AF100),"Error")))</f>
        <v/>
      </c>
      <c r="AA100" s="352" t="str">
        <f>IF($AG100="","",IF($AH100="USD",$AG100,IF($AH100=Data!$AD$3,$AG100/$R$11,"Error")))</f>
        <v/>
      </c>
      <c r="AB100" s="353" t="str">
        <f>IF($AI100="","",IF($AJ100="USD",$AI100,IF($AJ100='[1]Info I'!$G$3,$AI100/$R$11,"Error")))</f>
        <v/>
      </c>
      <c r="AC100" s="354" t="str">
        <f t="shared" si="19"/>
        <v/>
      </c>
      <c r="AD100" s="355" t="str">
        <f t="shared" si="20"/>
        <v/>
      </c>
      <c r="AE100" s="172" t="str">
        <f t="shared" si="32"/>
        <v/>
      </c>
      <c r="AF100" s="173" t="str">
        <f>IFERROR(IF(T100="","",VLOOKUP(T100,Data!V:Z,4,FALSE)),"Error")</f>
        <v/>
      </c>
      <c r="AG100" s="172" t="str">
        <f t="shared" si="27"/>
        <v/>
      </c>
      <c r="AH100" s="174" t="str">
        <f t="shared" si="28"/>
        <v/>
      </c>
      <c r="AI100" s="172" t="str">
        <f t="shared" si="29"/>
        <v/>
      </c>
      <c r="AJ100" s="174" t="str">
        <f t="shared" si="30"/>
        <v/>
      </c>
    </row>
    <row r="101" spans="1:36" ht="18.75">
      <c r="A101" s="119"/>
      <c r="B101" s="451" t="str">
        <f>IF(Planner!C151="","",Planner!C151)</f>
        <v/>
      </c>
      <c r="C101" s="452"/>
      <c r="D101" s="148" t="str">
        <f>_xlfn.XLOOKUP(Invoice!B101,Data!$P:$P,Data!$N:$N,"")</f>
        <v/>
      </c>
      <c r="E101" s="151" t="str">
        <f>IF(B101="","",IF(_xlfn.XLOOKUP(B101,Data!$P:$P,Data!$T:$T,"")=1,"1",(Planner!$C$68+Planner!$E$68)))</f>
        <v/>
      </c>
      <c r="F101" s="155" t="str">
        <f>_xlfn.XLOOKUP($B101,Data!$P:$P,Data!$Q:$Q,"")</f>
        <v/>
      </c>
      <c r="G101" s="155" t="str">
        <f t="shared" si="33"/>
        <v/>
      </c>
      <c r="H101" s="148" t="s">
        <v>21</v>
      </c>
      <c r="I101" s="119"/>
      <c r="J101" s="312"/>
      <c r="L101" s="157"/>
      <c r="M101" s="247" t="str">
        <f>IF(R101="","",_xlfn.XLOOKUP(R101,Data!P:P,Data!M:M))</f>
        <v/>
      </c>
      <c r="N101" s="228" t="str">
        <f t="shared" si="34"/>
        <v/>
      </c>
      <c r="O101" s="228" t="str">
        <f>IF(R101="","",_xlfn.XLOOKUP(R101,Data!P:P,Data!R:R))</f>
        <v/>
      </c>
      <c r="P101" s="243" t="str">
        <f t="shared" si="35"/>
        <v/>
      </c>
      <c r="Q101" s="320" t="str">
        <f>IF(R101="","",_xlfn.XLOOKUP(R101,Data!P:P,Data!S:S))</f>
        <v/>
      </c>
      <c r="R101" s="248" t="str">
        <f t="shared" si="36"/>
        <v/>
      </c>
      <c r="T101" s="168" t="str">
        <f t="shared" si="31"/>
        <v/>
      </c>
      <c r="U101" s="169" t="str">
        <f>IF($AE101="","",IF($H$139="USD",$AE101/(1+$AF101),IF($H$139='[1]Info I'!$G$3,$AE101/$R$12/(1+$AF101),"Error")))</f>
        <v/>
      </c>
      <c r="V101" s="170" t="str">
        <f>IF($AG101="","",IF($AH101="USD",$AG101,IF($AH101=Data!$AD$3,$AG101/$R$12,"Error")))</f>
        <v/>
      </c>
      <c r="W101" s="171" t="str">
        <f>IF($AI101="","",IF($AJ101="USD",$AI101,IF($AJ101='[1]Info I'!$G$3,$AI101/$R$12,"Error")))</f>
        <v/>
      </c>
      <c r="X101" s="169" t="str">
        <f t="shared" si="25"/>
        <v/>
      </c>
      <c r="Y101" s="332" t="str">
        <f t="shared" si="26"/>
        <v/>
      </c>
      <c r="Z101" s="351" t="str">
        <f>IF($AE101="","",IF($H$139="USD",$AE101/(1+$AF101),IF($H$139='[1]Info I'!$G$3,$AE101/$R$11/(1+$AF101),"Error")))</f>
        <v/>
      </c>
      <c r="AA101" s="352" t="str">
        <f>IF($AG101="","",IF($AH101="USD",$AG101,IF($AH101=Data!$AD$3,$AG101/$R$11,"Error")))</f>
        <v/>
      </c>
      <c r="AB101" s="353" t="str">
        <f>IF($AI101="","",IF($AJ101="USD",$AI101,IF($AJ101='[1]Info I'!$G$3,$AI101/$R$11,"Error")))</f>
        <v/>
      </c>
      <c r="AC101" s="354" t="str">
        <f t="shared" si="19"/>
        <v/>
      </c>
      <c r="AD101" s="355" t="str">
        <f t="shared" si="20"/>
        <v/>
      </c>
      <c r="AE101" s="172" t="str">
        <f t="shared" si="32"/>
        <v/>
      </c>
      <c r="AF101" s="173" t="str">
        <f>IFERROR(IF(T101="","",VLOOKUP(T101,Data!V:Z,4,FALSE)),"Error")</f>
        <v/>
      </c>
      <c r="AG101" s="172" t="str">
        <f t="shared" si="27"/>
        <v/>
      </c>
      <c r="AH101" s="174" t="str">
        <f t="shared" si="28"/>
        <v/>
      </c>
      <c r="AI101" s="172" t="str">
        <f t="shared" si="29"/>
        <v/>
      </c>
      <c r="AJ101" s="174" t="str">
        <f t="shared" si="30"/>
        <v/>
      </c>
    </row>
    <row r="102" spans="1:36" ht="18.75">
      <c r="A102" s="119"/>
      <c r="B102" s="451" t="str">
        <f>IF(Planner!C152="","",Planner!C152)</f>
        <v/>
      </c>
      <c r="C102" s="452"/>
      <c r="D102" s="148" t="str">
        <f>_xlfn.XLOOKUP(Invoice!B102,Data!$P:$P,Data!$N:$N,"")</f>
        <v/>
      </c>
      <c r="E102" s="151" t="str">
        <f>IF(B102="","",IF(_xlfn.XLOOKUP(B102,Data!$P:$P,Data!$T:$T,"")=1,"1",(Planner!$C$68+Planner!$E$68)))</f>
        <v/>
      </c>
      <c r="F102" s="155" t="str">
        <f>_xlfn.XLOOKUP($B102,Data!$P:$P,Data!$Q:$Q,"")</f>
        <v/>
      </c>
      <c r="G102" s="155" t="str">
        <f t="shared" si="33"/>
        <v/>
      </c>
      <c r="H102" s="148" t="s">
        <v>21</v>
      </c>
      <c r="I102" s="119"/>
      <c r="J102" s="312"/>
      <c r="L102" s="157"/>
      <c r="M102" s="247" t="str">
        <f>IF(R102="","",_xlfn.XLOOKUP(R102,Data!P:P,Data!M:M))</f>
        <v/>
      </c>
      <c r="N102" s="228" t="str">
        <f t="shared" si="34"/>
        <v/>
      </c>
      <c r="O102" s="228" t="str">
        <f>IF(R102="","",_xlfn.XLOOKUP(R102,Data!P:P,Data!R:R))</f>
        <v/>
      </c>
      <c r="P102" s="243" t="str">
        <f t="shared" si="35"/>
        <v/>
      </c>
      <c r="Q102" s="320" t="str">
        <f>IF(R102="","",_xlfn.XLOOKUP(R102,Data!P:P,Data!S:S))</f>
        <v/>
      </c>
      <c r="R102" s="248" t="str">
        <f t="shared" si="36"/>
        <v/>
      </c>
      <c r="T102" s="168" t="str">
        <f t="shared" si="31"/>
        <v/>
      </c>
      <c r="U102" s="169" t="str">
        <f>IF($AE102="","",IF($H$139="USD",$AE102/(1+$AF102),IF($H$139='[1]Info I'!$G$3,$AE102/$R$12/(1+$AF102),"Error")))</f>
        <v/>
      </c>
      <c r="V102" s="170" t="str">
        <f>IF($AG102="","",IF($AH102="USD",$AG102,IF($AH102=Data!$AD$3,$AG102/$R$12,"Error")))</f>
        <v/>
      </c>
      <c r="W102" s="171" t="str">
        <f>IF($AI102="","",IF($AJ102="USD",$AI102,IF($AJ102='[1]Info I'!$G$3,$AI102/$R$12,"Error")))</f>
        <v/>
      </c>
      <c r="X102" s="169" t="str">
        <f t="shared" si="25"/>
        <v/>
      </c>
      <c r="Y102" s="332" t="str">
        <f t="shared" si="26"/>
        <v/>
      </c>
      <c r="Z102" s="351" t="str">
        <f>IF($AE102="","",IF($H$139="USD",$AE102/(1+$AF102),IF($H$139='[1]Info I'!$G$3,$AE102/$R$11/(1+$AF102),"Error")))</f>
        <v/>
      </c>
      <c r="AA102" s="352" t="str">
        <f>IF($AG102="","",IF($AH102="USD",$AG102,IF($AH102=Data!$AD$3,$AG102/$R$11,"Error")))</f>
        <v/>
      </c>
      <c r="AB102" s="353" t="str">
        <f>IF($AI102="","",IF($AJ102="USD",$AI102,IF($AJ102='[1]Info I'!$G$3,$AI102/$R$11,"Error")))</f>
        <v/>
      </c>
      <c r="AC102" s="354" t="str">
        <f t="shared" si="19"/>
        <v/>
      </c>
      <c r="AD102" s="355" t="str">
        <f t="shared" si="20"/>
        <v/>
      </c>
      <c r="AE102" s="172" t="str">
        <f t="shared" si="32"/>
        <v/>
      </c>
      <c r="AF102" s="173" t="str">
        <f>IFERROR(IF(T102="","",VLOOKUP(T102,Data!V:Z,4,FALSE)),"Error")</f>
        <v/>
      </c>
      <c r="AG102" s="172" t="str">
        <f t="shared" si="27"/>
        <v/>
      </c>
      <c r="AH102" s="174" t="str">
        <f t="shared" si="28"/>
        <v/>
      </c>
      <c r="AI102" s="172" t="str">
        <f t="shared" si="29"/>
        <v/>
      </c>
      <c r="AJ102" s="174" t="str">
        <f t="shared" si="30"/>
        <v/>
      </c>
    </row>
    <row r="103" spans="1:36" ht="18.75">
      <c r="A103" s="119"/>
      <c r="B103" s="451" t="str">
        <f>IF(Planner!C153="","",Planner!C153)</f>
        <v/>
      </c>
      <c r="C103" s="452"/>
      <c r="D103" s="148" t="str">
        <f>_xlfn.XLOOKUP(Invoice!B103,Data!$P:$P,Data!$N:$N,"")</f>
        <v/>
      </c>
      <c r="E103" s="151" t="str">
        <f>IF(B103="","",IF(_xlfn.XLOOKUP(B103,Data!$P:$P,Data!$T:$T,"")=1,"1",(Planner!$C$68+Planner!$E$68)))</f>
        <v/>
      </c>
      <c r="F103" s="155" t="str">
        <f>_xlfn.XLOOKUP($B103,Data!$P:$P,Data!$Q:$Q,"")</f>
        <v/>
      </c>
      <c r="G103" s="155" t="str">
        <f t="shared" si="33"/>
        <v/>
      </c>
      <c r="H103" s="148" t="s">
        <v>21</v>
      </c>
      <c r="I103" s="119"/>
      <c r="J103" s="312"/>
      <c r="L103" s="157"/>
      <c r="M103" s="247" t="str">
        <f>IF(R103="","",_xlfn.XLOOKUP(R103,Data!P:P,Data!M:M))</f>
        <v/>
      </c>
      <c r="N103" s="228" t="str">
        <f t="shared" si="34"/>
        <v/>
      </c>
      <c r="O103" s="228" t="str">
        <f>IF(R103="","",_xlfn.XLOOKUP(R103,Data!P:P,Data!R:R))</f>
        <v/>
      </c>
      <c r="P103" s="243" t="str">
        <f t="shared" si="35"/>
        <v/>
      </c>
      <c r="Q103" s="320" t="str">
        <f>IF(R103="","",_xlfn.XLOOKUP(R103,Data!P:P,Data!S:S))</f>
        <v/>
      </c>
      <c r="R103" s="248" t="str">
        <f t="shared" si="36"/>
        <v/>
      </c>
      <c r="T103" s="168" t="str">
        <f t="shared" si="31"/>
        <v/>
      </c>
      <c r="U103" s="169" t="str">
        <f>IF($AE103="","",IF($H$139="USD",$AE103/(1+$AF103),IF($H$139='[1]Info I'!$G$3,$AE103/$R$12/(1+$AF103),"Error")))</f>
        <v/>
      </c>
      <c r="V103" s="170" t="str">
        <f>IF($AG103="","",IF($AH103="USD",$AG103,IF($AH103=Data!$AD$3,$AG103/$R$12,"Error")))</f>
        <v/>
      </c>
      <c r="W103" s="171" t="str">
        <f>IF($AI103="","",IF($AJ103="USD",$AI103,IF($AJ103='[1]Info I'!$G$3,$AI103/$R$12,"Error")))</f>
        <v/>
      </c>
      <c r="X103" s="169" t="str">
        <f t="shared" si="25"/>
        <v/>
      </c>
      <c r="Y103" s="332" t="str">
        <f t="shared" si="26"/>
        <v/>
      </c>
      <c r="Z103" s="351" t="str">
        <f>IF($AE103="","",IF($H$139="USD",$AE103/(1+$AF103),IF($H$139='[1]Info I'!$G$3,$AE103/$R$11/(1+$AF103),"Error")))</f>
        <v/>
      </c>
      <c r="AA103" s="352" t="str">
        <f>IF($AG103="","",IF($AH103="USD",$AG103,IF($AH103=Data!$AD$3,$AG103/$R$11,"Error")))</f>
        <v/>
      </c>
      <c r="AB103" s="353" t="str">
        <f>IF($AI103="","",IF($AJ103="USD",$AI103,IF($AJ103='[1]Info I'!$G$3,$AI103/$R$11,"Error")))</f>
        <v/>
      </c>
      <c r="AC103" s="354" t="str">
        <f t="shared" si="19"/>
        <v/>
      </c>
      <c r="AD103" s="355" t="str">
        <f t="shared" si="20"/>
        <v/>
      </c>
      <c r="AE103" s="172" t="str">
        <f t="shared" si="32"/>
        <v/>
      </c>
      <c r="AF103" s="173" t="str">
        <f>IFERROR(IF(T103="","",VLOOKUP(T103,Data!V:Z,4,FALSE)),"Error")</f>
        <v/>
      </c>
      <c r="AG103" s="172" t="str">
        <f t="shared" si="27"/>
        <v/>
      </c>
      <c r="AH103" s="174" t="str">
        <f t="shared" si="28"/>
        <v/>
      </c>
      <c r="AI103" s="172" t="str">
        <f t="shared" si="29"/>
        <v/>
      </c>
      <c r="AJ103" s="174" t="str">
        <f t="shared" si="30"/>
        <v/>
      </c>
    </row>
    <row r="104" spans="1:36" ht="18.75">
      <c r="A104" s="119"/>
      <c r="B104" s="451" t="str">
        <f>IF(Planner!C154="","",Planner!C154)</f>
        <v/>
      </c>
      <c r="C104" s="452"/>
      <c r="D104" s="148" t="str">
        <f>_xlfn.XLOOKUP(Invoice!B104,Data!$P:$P,Data!$N:$N,"")</f>
        <v/>
      </c>
      <c r="E104" s="151" t="str">
        <f>IF(B104="","",IF(_xlfn.XLOOKUP(B104,Data!$P:$P,Data!$T:$T,"")=1,"1",(Planner!$C$68+Planner!$E$68)))</f>
        <v/>
      </c>
      <c r="F104" s="155" t="str">
        <f>_xlfn.XLOOKUP($B104,Data!$P:$P,Data!$Q:$Q,"")</f>
        <v/>
      </c>
      <c r="G104" s="155" t="str">
        <f t="shared" si="33"/>
        <v/>
      </c>
      <c r="H104" s="148" t="s">
        <v>21</v>
      </c>
      <c r="I104" s="119"/>
      <c r="J104" s="312"/>
      <c r="L104" s="157"/>
      <c r="M104" s="247" t="str">
        <f>IF(R104="","",_xlfn.XLOOKUP(R104,Data!P:P,Data!M:M))</f>
        <v/>
      </c>
      <c r="N104" s="228" t="str">
        <f t="shared" si="34"/>
        <v/>
      </c>
      <c r="O104" s="228" t="str">
        <f>IF(R104="","",_xlfn.XLOOKUP(R104,Data!P:P,Data!R:R))</f>
        <v/>
      </c>
      <c r="P104" s="243" t="str">
        <f t="shared" si="35"/>
        <v/>
      </c>
      <c r="Q104" s="320" t="str">
        <f>IF(R104="","",_xlfn.XLOOKUP(R104,Data!P:P,Data!S:S))</f>
        <v/>
      </c>
      <c r="R104" s="248" t="str">
        <f t="shared" si="36"/>
        <v/>
      </c>
      <c r="T104" s="168" t="str">
        <f t="shared" si="31"/>
        <v/>
      </c>
      <c r="U104" s="169" t="str">
        <f>IF($AE104="","",IF($H$139="USD",$AE104/(1+$AF104),IF($H$139='[1]Info I'!$G$3,$AE104/$R$12/(1+$AF104),"Error")))</f>
        <v/>
      </c>
      <c r="V104" s="170" t="str">
        <f>IF($AG104="","",IF($AH104="USD",$AG104,IF($AH104=Data!$AD$3,$AG104/$R$12,"Error")))</f>
        <v/>
      </c>
      <c r="W104" s="171" t="str">
        <f>IF($AI104="","",IF($AJ104="USD",$AI104,IF($AJ104='[1]Info I'!$G$3,$AI104/$R$12,"Error")))</f>
        <v/>
      </c>
      <c r="X104" s="169" t="str">
        <f t="shared" si="25"/>
        <v/>
      </c>
      <c r="Y104" s="332" t="str">
        <f t="shared" si="26"/>
        <v/>
      </c>
      <c r="Z104" s="351" t="str">
        <f>IF($AE104="","",IF($H$139="USD",$AE104/(1+$AF104),IF($H$139='[1]Info I'!$G$3,$AE104/$R$11/(1+$AF104),"Error")))</f>
        <v/>
      </c>
      <c r="AA104" s="352" t="str">
        <f>IF($AG104="","",IF($AH104="USD",$AG104,IF($AH104=Data!$AD$3,$AG104/$R$11,"Error")))</f>
        <v/>
      </c>
      <c r="AB104" s="353" t="str">
        <f>IF($AI104="","",IF($AJ104="USD",$AI104,IF($AJ104='[1]Info I'!$G$3,$AI104/$R$11,"Error")))</f>
        <v/>
      </c>
      <c r="AC104" s="354" t="str">
        <f t="shared" si="19"/>
        <v/>
      </c>
      <c r="AD104" s="355" t="str">
        <f t="shared" si="20"/>
        <v/>
      </c>
      <c r="AE104" s="172" t="str">
        <f t="shared" si="32"/>
        <v/>
      </c>
      <c r="AF104" s="173" t="str">
        <f>IFERROR(IF(T104="","",VLOOKUP(T104,Data!V:Z,4,FALSE)),"Error")</f>
        <v/>
      </c>
      <c r="AG104" s="172" t="str">
        <f t="shared" si="27"/>
        <v/>
      </c>
      <c r="AH104" s="174" t="str">
        <f t="shared" si="28"/>
        <v/>
      </c>
      <c r="AI104" s="172" t="str">
        <f t="shared" si="29"/>
        <v/>
      </c>
      <c r="AJ104" s="174" t="str">
        <f t="shared" si="30"/>
        <v/>
      </c>
    </row>
    <row r="105" spans="1:36" ht="18.75">
      <c r="A105" s="119"/>
      <c r="B105" s="451" t="str">
        <f>IF(Planner!C155="","",Planner!C155)</f>
        <v/>
      </c>
      <c r="C105" s="452"/>
      <c r="D105" s="148" t="str">
        <f>_xlfn.XLOOKUP(Invoice!B105,Data!$P:$P,Data!$N:$N,"")</f>
        <v/>
      </c>
      <c r="E105" s="151" t="str">
        <f>IF(B105="","",IF(_xlfn.XLOOKUP(B105,Data!$P:$P,Data!$T:$T,"")=1,"1",(Planner!$C$68+Planner!$E$68)))</f>
        <v/>
      </c>
      <c r="F105" s="155" t="str">
        <f>_xlfn.XLOOKUP($B105,Data!$P:$P,Data!$Q:$Q,"")</f>
        <v/>
      </c>
      <c r="G105" s="155" t="str">
        <f t="shared" si="33"/>
        <v/>
      </c>
      <c r="H105" s="148" t="s">
        <v>21</v>
      </c>
      <c r="I105" s="119"/>
      <c r="J105" s="312"/>
      <c r="L105" s="157"/>
      <c r="M105" s="247" t="str">
        <f>IF(R105="","",_xlfn.XLOOKUP(R105,Data!P:P,Data!M:M))</f>
        <v/>
      </c>
      <c r="N105" s="228" t="str">
        <f t="shared" si="34"/>
        <v/>
      </c>
      <c r="O105" s="228" t="str">
        <f>IF(R105="","",_xlfn.XLOOKUP(R105,Data!P:P,Data!R:R))</f>
        <v/>
      </c>
      <c r="P105" s="243" t="str">
        <f t="shared" si="35"/>
        <v/>
      </c>
      <c r="Q105" s="320" t="str">
        <f>IF(R105="","",_xlfn.XLOOKUP(R105,Data!P:P,Data!S:S))</f>
        <v/>
      </c>
      <c r="R105" s="248" t="str">
        <f t="shared" si="36"/>
        <v/>
      </c>
      <c r="T105" s="168" t="str">
        <f t="shared" si="31"/>
        <v/>
      </c>
      <c r="U105" s="169" t="str">
        <f>IF($AE105="","",IF($H$139="USD",$AE105/(1+$AF105),IF($H$139='[1]Info I'!$G$3,$AE105/$R$12/(1+$AF105),"Error")))</f>
        <v/>
      </c>
      <c r="V105" s="170" t="str">
        <f>IF($AG105="","",IF($AH105="USD",$AG105,IF($AH105=Data!$AD$3,$AG105/$R$12,"Error")))</f>
        <v/>
      </c>
      <c r="W105" s="171" t="str">
        <f>IF($AI105="","",IF($AJ105="USD",$AI105,IF($AJ105='[1]Info I'!$G$3,$AI105/$R$12,"Error")))</f>
        <v/>
      </c>
      <c r="X105" s="169" t="str">
        <f t="shared" si="25"/>
        <v/>
      </c>
      <c r="Y105" s="332" t="str">
        <f t="shared" si="26"/>
        <v/>
      </c>
      <c r="Z105" s="351" t="str">
        <f>IF($AE105="","",IF($H$139="USD",$AE105/(1+$AF105),IF($H$139='[1]Info I'!$G$3,$AE105/$R$11/(1+$AF105),"Error")))</f>
        <v/>
      </c>
      <c r="AA105" s="352" t="str">
        <f>IF($AG105="","",IF($AH105="USD",$AG105,IF($AH105=Data!$AD$3,$AG105/$R$11,"Error")))</f>
        <v/>
      </c>
      <c r="AB105" s="353" t="str">
        <f>IF($AI105="","",IF($AJ105="USD",$AI105,IF($AJ105='[1]Info I'!$G$3,$AI105/$R$11,"Error")))</f>
        <v/>
      </c>
      <c r="AC105" s="354" t="str">
        <f t="shared" si="19"/>
        <v/>
      </c>
      <c r="AD105" s="355" t="str">
        <f t="shared" si="20"/>
        <v/>
      </c>
      <c r="AE105" s="172" t="str">
        <f t="shared" si="32"/>
        <v/>
      </c>
      <c r="AF105" s="173" t="str">
        <f>IFERROR(IF(T105="","",VLOOKUP(T105,Data!V:Z,4,FALSE)),"Error")</f>
        <v/>
      </c>
      <c r="AG105" s="172" t="str">
        <f t="shared" si="27"/>
        <v/>
      </c>
      <c r="AH105" s="174" t="str">
        <f t="shared" si="28"/>
        <v/>
      </c>
      <c r="AI105" s="172" t="str">
        <f t="shared" si="29"/>
        <v/>
      </c>
      <c r="AJ105" s="174" t="str">
        <f t="shared" si="30"/>
        <v/>
      </c>
    </row>
    <row r="106" spans="1:36" ht="18.75">
      <c r="A106" s="119"/>
      <c r="B106" s="451" t="str">
        <f>IF(Planner!C160="","","Decor pckg - "&amp;Planner!C160)</f>
        <v/>
      </c>
      <c r="C106" s="452"/>
      <c r="D106" s="148" t="str">
        <f>_xlfn.XLOOKUP(Invoice!B106,Data!$P:$P,Data!$N:$N,"")</f>
        <v/>
      </c>
      <c r="E106" s="151">
        <v>1</v>
      </c>
      <c r="F106" s="155" t="str">
        <f>_xlfn.XLOOKUP($B106,Data!$P:$P,Data!$Q:$Q,"")</f>
        <v/>
      </c>
      <c r="G106" s="155" t="str">
        <f t="shared" si="33"/>
        <v/>
      </c>
      <c r="H106" s="148" t="s">
        <v>21</v>
      </c>
      <c r="I106" s="119">
        <f>_xlfn.XLOOKUP(Planner!C160,Data!P:P,Data!O:O,"")</f>
        <v>0</v>
      </c>
      <c r="J106" s="312">
        <f>_xlfn.XLOOKUP(Planner!C160,Data!P:P,Data!R:R,"")</f>
        <v>0</v>
      </c>
      <c r="K106" s="118" t="str">
        <f>_xlfn.XLOOKUP(Planner!C160,Data!P:P,Data!S:S,"")</f>
        <v>MXN</v>
      </c>
      <c r="L106" s="157"/>
      <c r="M106" s="119"/>
      <c r="O106" s="312"/>
      <c r="P106" s="312"/>
      <c r="R106" s="157"/>
      <c r="T106" s="168" t="str">
        <f t="shared" si="31"/>
        <v/>
      </c>
      <c r="U106" s="169" t="str">
        <f>IF($AE106="","",IF($H$139="USD",$AE106/(1+$AF106),IF($H$139='[1]Info I'!$G$3,$AE106/$R$12/(1+$AF106),"Error")))</f>
        <v/>
      </c>
      <c r="V106" s="170">
        <f>IF($AG106="","",IF($AH106="USD",$AG106,IF($AH106=Data!$AD$3,$AG106/$R$12,"Error")))</f>
        <v>0</v>
      </c>
      <c r="W106" s="171" t="str">
        <f>IF($AI106="","",IF($AJ106="USD",$AI106,IF($AJ106='[1]Info I'!$G$3,$AI106/$R$12,"Error")))</f>
        <v/>
      </c>
      <c r="X106" s="169" t="str">
        <f t="shared" si="25"/>
        <v/>
      </c>
      <c r="Y106" s="332" t="str">
        <f t="shared" si="26"/>
        <v/>
      </c>
      <c r="Z106" s="351" t="str">
        <f>IF($AE106="","",IF($H$139="USD",$AE106/(1+$AF106),IF($H$139='[1]Info I'!$G$3,$AE106/$R$11/(1+$AF106),"Error")))</f>
        <v/>
      </c>
      <c r="AA106" s="352">
        <f>IF($AG106="","",IF($AH106="USD",$AG106,IF($AH106=Data!$AD$3,$AG106/$R$11,"Error")))</f>
        <v>0</v>
      </c>
      <c r="AB106" s="353" t="str">
        <f>IF($AI106="","",IF($AJ106="USD",$AI106,IF($AJ106='[1]Info I'!$G$3,$AI106/$R$11,"Error")))</f>
        <v/>
      </c>
      <c r="AC106" s="354" t="str">
        <f t="shared" si="19"/>
        <v/>
      </c>
      <c r="AD106" s="355" t="str">
        <f t="shared" si="20"/>
        <v/>
      </c>
      <c r="AE106" s="172" t="str">
        <f t="shared" si="32"/>
        <v/>
      </c>
      <c r="AF106" s="173" t="str">
        <f>IFERROR(IF(T106="","",VLOOKUP(T106,Data!V:Z,4,FALSE)),"Error")</f>
        <v/>
      </c>
      <c r="AG106" s="172">
        <f t="shared" si="27"/>
        <v>0</v>
      </c>
      <c r="AH106" s="174" t="str">
        <f t="shared" si="28"/>
        <v>MXN</v>
      </c>
      <c r="AI106" s="172" t="str">
        <f t="shared" si="29"/>
        <v/>
      </c>
      <c r="AJ106" s="174" t="str">
        <f t="shared" si="30"/>
        <v/>
      </c>
    </row>
    <row r="107" spans="1:36" ht="18.75">
      <c r="A107" s="119"/>
      <c r="B107" s="451" t="str">
        <f>IF(Planner!C161="","","Decor pckg - "&amp;Planner!C161)</f>
        <v/>
      </c>
      <c r="C107" s="452"/>
      <c r="D107" s="148" t="str">
        <f>_xlfn.XLOOKUP(Invoice!B107,Data!$P:$P,Data!$N:$N,"")</f>
        <v/>
      </c>
      <c r="E107" s="151">
        <f>Planner!E161</f>
        <v>0</v>
      </c>
      <c r="F107" s="155" t="str">
        <f>_xlfn.XLOOKUP($B107,Data!$P:$P,Data!$Q:$Q,"")</f>
        <v/>
      </c>
      <c r="G107" s="155" t="str">
        <f t="shared" si="33"/>
        <v/>
      </c>
      <c r="H107" s="148" t="s">
        <v>21</v>
      </c>
      <c r="I107" s="119" t="str">
        <f>_xlfn.XLOOKUP(Planner!C161,Data!P:P,Data!O:O,"")</f>
        <v/>
      </c>
      <c r="J107" s="312" t="str">
        <f>_xlfn.XLOOKUP(Planner!C161,Data!P:P,Data!R:R,"")</f>
        <v/>
      </c>
      <c r="K107" s="118" t="str">
        <f>_xlfn.XLOOKUP(Planner!C161,Data!P:P,Data!S:S,"")</f>
        <v/>
      </c>
      <c r="L107" s="157"/>
      <c r="M107" s="119"/>
      <c r="O107" s="312"/>
      <c r="P107" s="312"/>
      <c r="R107" s="157"/>
      <c r="T107" s="168" t="str">
        <f t="shared" si="31"/>
        <v/>
      </c>
      <c r="U107" s="169" t="str">
        <f>IF($AE107="","",IF($H$139="USD",$AE107/(1+$AF107),IF($H$139='[1]Info I'!$G$3,$AE107/$R$12/(1+$AF107),"Error")))</f>
        <v/>
      </c>
      <c r="V107" s="170" t="str">
        <f>IF($AG107="","",IF($AH107="USD",$AG107,IF($AH107=Data!$AD$3,$AG107/$R$12,"Error")))</f>
        <v/>
      </c>
      <c r="W107" s="171" t="str">
        <f>IF($AI107="","",IF($AJ107="USD",$AI107,IF($AJ107='[1]Info I'!$G$3,$AI107/$R$12,"Error")))</f>
        <v/>
      </c>
      <c r="X107" s="169" t="str">
        <f t="shared" si="25"/>
        <v/>
      </c>
      <c r="Y107" s="332" t="str">
        <f t="shared" si="26"/>
        <v/>
      </c>
      <c r="Z107" s="351" t="str">
        <f>IF($AE107="","",IF($H$139="USD",$AE107/(1+$AF107),IF($H$139='[1]Info I'!$G$3,$AE107/$R$11/(1+$AF107),"Error")))</f>
        <v/>
      </c>
      <c r="AA107" s="352" t="str">
        <f>IF($AG107="","",IF($AH107="USD",$AG107,IF($AH107=Data!$AD$3,$AG107/$R$11,"Error")))</f>
        <v/>
      </c>
      <c r="AB107" s="353" t="str">
        <f>IF($AI107="","",IF($AJ107="USD",$AI107,IF($AJ107='[1]Info I'!$G$3,$AI107/$R$11,"Error")))</f>
        <v/>
      </c>
      <c r="AC107" s="354" t="str">
        <f t="shared" si="19"/>
        <v/>
      </c>
      <c r="AD107" s="355" t="str">
        <f t="shared" si="20"/>
        <v/>
      </c>
      <c r="AE107" s="172" t="str">
        <f t="shared" si="32"/>
        <v/>
      </c>
      <c r="AF107" s="173" t="str">
        <f>IFERROR(IF(T107="","",VLOOKUP(T107,Data!V:Z,4,FALSE)),"Error")</f>
        <v/>
      </c>
      <c r="AG107" s="172" t="str">
        <f t="shared" si="27"/>
        <v/>
      </c>
      <c r="AH107" s="174" t="str">
        <f t="shared" si="28"/>
        <v/>
      </c>
      <c r="AI107" s="172" t="str">
        <f t="shared" si="29"/>
        <v/>
      </c>
      <c r="AJ107" s="174" t="str">
        <f t="shared" si="30"/>
        <v/>
      </c>
    </row>
    <row r="108" spans="1:36" ht="18.75">
      <c r="A108" s="119"/>
      <c r="B108" s="451" t="str">
        <f>IF(Planner!$C$163="","","Stationery - "&amp;Planner!$C$163)</f>
        <v/>
      </c>
      <c r="C108" s="452"/>
      <c r="D108" s="148" t="str">
        <f>IF(B108="","",_xlfn.XLOOKUP(Planner!$C$163,Data!$P:$P,Data!$N:$N,""))</f>
        <v/>
      </c>
      <c r="E108" s="151">
        <v>1</v>
      </c>
      <c r="F108" s="155">
        <f>_xlfn.XLOOKUP(Planner!$C$163,Data!$P:$P,Data!$Q:$Q,"")</f>
        <v>0</v>
      </c>
      <c r="G108" s="155">
        <f t="shared" si="33"/>
        <v>0</v>
      </c>
      <c r="H108" s="148" t="s">
        <v>21</v>
      </c>
      <c r="I108" s="119">
        <f>_xlfn.XLOOKUP(Planner!$C$163,Data!P:P,Data!O:O,"")</f>
        <v>0</v>
      </c>
      <c r="J108" s="312">
        <f>_xlfn.XLOOKUP(Planner!C162,Data!P:P,Data!R:R,"")</f>
        <v>0</v>
      </c>
      <c r="K108" s="118" t="str">
        <f>_xlfn.XLOOKUP(Planner!C162,Data!P:P,Data!S:S,"")</f>
        <v>MXN</v>
      </c>
      <c r="L108" s="157"/>
      <c r="M108" s="119"/>
      <c r="O108" s="312"/>
      <c r="P108" s="312"/>
      <c r="R108" s="157"/>
      <c r="T108" s="168" t="str">
        <f t="shared" si="31"/>
        <v/>
      </c>
      <c r="U108" s="169" t="str">
        <f>IF($AE108="","",IF($H$139="USD",$AE108/(1+$AF108),IF($H$139='[1]Info I'!$G$3,$AE108/$R$12/(1+$AF108),"Error")))</f>
        <v/>
      </c>
      <c r="V108" s="170">
        <f>IF($AG108="","",IF($AH108="USD",$AG108,IF($AH108=Data!$AD$3,$AG108/$R$12,"Error")))</f>
        <v>0</v>
      </c>
      <c r="W108" s="171" t="str">
        <f>IF($AI108="","",IF($AJ108="USD",$AI108,IF($AJ108='[1]Info I'!$G$3,$AI108/$R$12,"Error")))</f>
        <v/>
      </c>
      <c r="X108" s="169" t="str">
        <f t="shared" si="25"/>
        <v/>
      </c>
      <c r="Y108" s="332" t="str">
        <f t="shared" si="26"/>
        <v/>
      </c>
      <c r="Z108" s="351" t="str">
        <f>IF($AE108="","",IF($H$139="USD",$AE108/(1+$AF108),IF($H$139='[1]Info I'!$G$3,$AE108/$R$11/(1+$AF108),"Error")))</f>
        <v/>
      </c>
      <c r="AA108" s="352">
        <f>IF($AG108="","",IF($AH108="USD",$AG108,IF($AH108=Data!$AD$3,$AG108/$R$11,"Error")))</f>
        <v>0</v>
      </c>
      <c r="AB108" s="353" t="str">
        <f>IF($AI108="","",IF($AJ108="USD",$AI108,IF($AJ108='[1]Info I'!$G$3,$AI108/$R$11,"Error")))</f>
        <v/>
      </c>
      <c r="AC108" s="354" t="str">
        <f t="shared" si="19"/>
        <v/>
      </c>
      <c r="AD108" s="355" t="str">
        <f t="shared" si="20"/>
        <v/>
      </c>
      <c r="AE108" s="172" t="str">
        <f t="shared" si="32"/>
        <v/>
      </c>
      <c r="AF108" s="173" t="str">
        <f>IFERROR(IF(T108="","",VLOOKUP(T108,Data!V:Z,4,FALSE)),"Error")</f>
        <v/>
      </c>
      <c r="AG108" s="172">
        <f t="shared" si="27"/>
        <v>0</v>
      </c>
      <c r="AH108" s="174" t="str">
        <f t="shared" si="28"/>
        <v>MXN</v>
      </c>
      <c r="AI108" s="172" t="str">
        <f t="shared" si="29"/>
        <v/>
      </c>
      <c r="AJ108" s="174" t="str">
        <f t="shared" si="30"/>
        <v/>
      </c>
    </row>
    <row r="109" spans="1:36" ht="18.75">
      <c r="A109" s="119"/>
      <c r="B109" s="451">
        <f>IF(Planner!$C$171="Family/Friends","",Planner!$C$171)</f>
        <v>0</v>
      </c>
      <c r="C109" s="452"/>
      <c r="D109" s="148" t="str">
        <f>_xlfn.XLOOKUP(Invoice!B109,Data!$P:$P,Data!$N:$N,"")</f>
        <v/>
      </c>
      <c r="E109" s="151">
        <f>Planner!E163</f>
        <v>0</v>
      </c>
      <c r="F109" s="155" t="str">
        <f>_xlfn.XLOOKUP($B109,Data!$P:$P,Data!$Q:$Q,"")</f>
        <v/>
      </c>
      <c r="G109" s="155" t="str">
        <f>IFERROR(E109*F109,"")</f>
        <v/>
      </c>
      <c r="H109" s="148"/>
      <c r="I109" s="119" t="str">
        <f>_xlfn.XLOOKUP(B109,Data!P:P,Data!O:O,"")</f>
        <v/>
      </c>
      <c r="J109" s="312" t="str">
        <f>_xlfn.XLOOKUP(B109,Data!P:P,Data!R:R,"")</f>
        <v/>
      </c>
      <c r="K109" s="118" t="str">
        <f>_xlfn.XLOOKUP(B109,Data!P:P,Data!S:S,"")</f>
        <v/>
      </c>
      <c r="L109" s="157"/>
      <c r="M109" s="119"/>
      <c r="O109" s="312"/>
      <c r="P109" s="312"/>
      <c r="R109" s="157"/>
      <c r="T109" s="168" t="str">
        <f t="shared" si="31"/>
        <v/>
      </c>
      <c r="U109" s="169" t="str">
        <f>IF($AE109="","",IF($H$139="USD",$AE109/(1+$AF109),IF($H$139='[1]Info I'!$G$3,$AE109/$R$12/(1+$AF109),"Error")))</f>
        <v/>
      </c>
      <c r="V109" s="170" t="str">
        <f>IF($AG109="","",IF($AH109="USD",$AG109,IF($AH109=Data!$AD$3,$AG109/$R$12,"Error")))</f>
        <v/>
      </c>
      <c r="W109" s="171" t="str">
        <f>IF($AI109="","",IF($AJ109="USD",$AI109,IF($AJ109='[1]Info I'!$G$3,$AI109/$R$12,"Error")))</f>
        <v/>
      </c>
      <c r="X109" s="169"/>
      <c r="Y109" s="332"/>
      <c r="Z109" s="351" t="str">
        <f>IF($AE109="","",IF($H$139="USD",$AE109/(1+$AF109),IF($H$139='[1]Info I'!$G$3,$AE109/$R$11/(1+$AF109),"Error")))</f>
        <v/>
      </c>
      <c r="AA109" s="352" t="str">
        <f>IF($AG109="","",IF($AH109="USD",$AG109,IF($AH109=Data!$AD$3,$AG109/$R$11,"Error")))</f>
        <v/>
      </c>
      <c r="AB109" s="353" t="str">
        <f>IF($AI109="","",IF($AJ109="USD",$AI109,IF($AJ109='[1]Info I'!$G$3,$AI109/$R$11,"Error")))</f>
        <v/>
      </c>
      <c r="AC109" s="354"/>
      <c r="AD109" s="355"/>
      <c r="AE109" s="172"/>
      <c r="AF109" s="173"/>
      <c r="AG109" s="172"/>
      <c r="AH109" s="174"/>
      <c r="AI109" s="172"/>
      <c r="AJ109" s="174"/>
    </row>
    <row r="110" spans="1:36" ht="18.75">
      <c r="A110" s="119"/>
      <c r="B110" s="451">
        <f>Planner!C164</f>
        <v>0</v>
      </c>
      <c r="C110" s="452"/>
      <c r="D110" s="148" t="str">
        <f>_xlfn.XLOOKUP(Invoice!B110,Data!$P:$P,Data!$N:$N,"")</f>
        <v/>
      </c>
      <c r="E110" s="151">
        <v>1</v>
      </c>
      <c r="F110" s="155" t="str">
        <f>_xlfn.XLOOKUP($B110,Data!$P:$P,Data!$Q:$Q,"")</f>
        <v/>
      </c>
      <c r="G110" s="155" t="str">
        <f t="shared" si="33"/>
        <v/>
      </c>
      <c r="H110" s="148" t="s">
        <v>21</v>
      </c>
      <c r="I110" s="119">
        <f>_xlfn.XLOOKUP(Planner!C163,Data!P:P,Data!O:O,"")</f>
        <v>0</v>
      </c>
      <c r="J110" s="312">
        <f>_xlfn.XLOOKUP(Planner!C163,Data!P:P,Data!R:R,"")</f>
        <v>0</v>
      </c>
      <c r="K110" s="118" t="str">
        <f>_xlfn.XLOOKUP(Planner!C163,Data!P:P,Data!S:S,"")</f>
        <v>MXN</v>
      </c>
      <c r="L110" s="157"/>
      <c r="M110" s="119"/>
      <c r="O110" s="312"/>
      <c r="P110" s="312"/>
      <c r="R110" s="157"/>
      <c r="T110" s="168" t="str">
        <f t="shared" si="31"/>
        <v/>
      </c>
      <c r="U110" s="169" t="str">
        <f>IF($AE110="","",IF($H$139="USD",$AE110/(1+$AF110),IF($H$139='[1]Info I'!$G$3,$AE110/$R$12/(1+$AF110),"Error")))</f>
        <v/>
      </c>
      <c r="V110" s="170">
        <f>IF($AG110="","",IF($AH110="USD",$AG110,IF($AH110=Data!$AD$3,$AG110/$R$12,"Error")))</f>
        <v>0</v>
      </c>
      <c r="W110" s="171" t="str">
        <f>IF($AI110="","",IF($AJ110="USD",$AI110,IF($AJ110='[1]Info I'!$G$3,$AI110/$R$12,"Error")))</f>
        <v/>
      </c>
      <c r="X110" s="169" t="str">
        <f t="shared" si="25"/>
        <v/>
      </c>
      <c r="Y110" s="332" t="str">
        <f t="shared" si="26"/>
        <v/>
      </c>
      <c r="Z110" s="351" t="str">
        <f>IF($AE110="","",IF($H$139="USD",$AE110/(1+$AF110),IF($H$139='[1]Info I'!$G$3,$AE110/$R$11/(1+$AF110),"Error")))</f>
        <v/>
      </c>
      <c r="AA110" s="352">
        <f>IF($AG110="","",IF($AH110="USD",$AG110,IF($AH110=Data!$AD$3,$AG110/$R$11,"Error")))</f>
        <v>0</v>
      </c>
      <c r="AB110" s="353" t="str">
        <f>IF($AI110="","",IF($AJ110="USD",$AI110,IF($AJ110='[1]Info I'!$G$3,$AI110/$R$11,"Error")))</f>
        <v/>
      </c>
      <c r="AC110" s="354" t="str">
        <f t="shared" ref="AC110:AC138" si="37">IFERROR(IF(+IF(AA110="",0,AA110)+IF(AB110="",0,AB110)=0,"",+IF(AA110="",0,AA110)+IF(AB110="",0,AB110)),"Error")</f>
        <v/>
      </c>
      <c r="AD110" s="355" t="str">
        <f t="shared" ref="AD110:AD138" si="38">IFERROR(+(Z110-AC110)/Z110,"")</f>
        <v/>
      </c>
      <c r="AE110" s="172" t="str">
        <f t="shared" ref="AE110:AE138" si="39">IF(+G110=0,"",+G110)</f>
        <v/>
      </c>
      <c r="AF110" s="173" t="str">
        <f>IFERROR(IF(T110="","",VLOOKUP(T110,Data!V:Z,4,FALSE)),"Error")</f>
        <v/>
      </c>
      <c r="AG110" s="172">
        <f t="shared" ref="AG110:AG138" si="40">IF(J110="","",J110)</f>
        <v>0</v>
      </c>
      <c r="AH110" s="174" t="str">
        <f>IF(AG110="","",IF(K110="","Error",K110))</f>
        <v>MXN</v>
      </c>
      <c r="AI110" s="172" t="str">
        <f t="shared" ref="AI110:AI138" si="41">IF(P110="","",P110)</f>
        <v/>
      </c>
      <c r="AJ110" s="174" t="str">
        <f t="shared" ref="AJ110:AJ138" si="42">IF(AI110="","",IF(Q110="","Error",Q110))</f>
        <v/>
      </c>
    </row>
    <row r="111" spans="1:36" ht="18.75">
      <c r="A111" s="119"/>
      <c r="B111" s="451">
        <f>Planner!C178</f>
        <v>0</v>
      </c>
      <c r="C111" s="452"/>
      <c r="D111" s="148" t="str">
        <f>_xlfn.XLOOKUP(Invoice!B111,Data!$P:$P,Data!$N:$N,"")</f>
        <v/>
      </c>
      <c r="E111" s="151">
        <v>1</v>
      </c>
      <c r="F111" s="155" t="str">
        <f>_xlfn.XLOOKUP($B111,Data!$P:$P,Data!$Q:$Q,"")</f>
        <v/>
      </c>
      <c r="G111" s="155" t="str">
        <f t="shared" si="33"/>
        <v/>
      </c>
      <c r="H111" s="148" t="s">
        <v>21</v>
      </c>
      <c r="I111" s="119">
        <f>_xlfn.XLOOKUP(Planner!C164,Data!P:P,Data!O:O,"")</f>
        <v>0</v>
      </c>
      <c r="J111" s="312">
        <f>_xlfn.XLOOKUP(Planner!C164,Data!P:P,Data!R:R,"")</f>
        <v>0</v>
      </c>
      <c r="K111" s="118" t="str">
        <f>_xlfn.XLOOKUP(Planner!C164,Data!P:P,Data!S:S,"")</f>
        <v>MXN</v>
      </c>
      <c r="L111" s="157"/>
      <c r="M111" s="119"/>
      <c r="O111" s="312"/>
      <c r="P111" s="312"/>
      <c r="R111" s="157"/>
      <c r="T111" s="168" t="str">
        <f t="shared" si="31"/>
        <v/>
      </c>
      <c r="U111" s="169" t="str">
        <f>IF($AE111="","",IF($H$139="USD",$AE111/(1+$AF111),IF($H$139='[1]Info I'!$G$3,$AE111/$R$12/(1+$AF111),"Error")))</f>
        <v/>
      </c>
      <c r="V111" s="170">
        <f>IF($AG111="","",IF($AH111="USD",$AG111,IF($AH111=Data!$AD$3,$AG111/$R$12,"Error")))</f>
        <v>0</v>
      </c>
      <c r="W111" s="171" t="str">
        <f>IF($AI111="","",IF($AJ111="USD",$AI111,IF($AJ111='[1]Info I'!$G$3,$AI111/$R$12,"Error")))</f>
        <v/>
      </c>
      <c r="X111" s="169" t="str">
        <f t="shared" si="25"/>
        <v/>
      </c>
      <c r="Y111" s="332" t="str">
        <f t="shared" si="26"/>
        <v/>
      </c>
      <c r="Z111" s="351" t="str">
        <f>IF($AE111="","",IF($H$139="USD",$AE111/(1+$AF111),IF($H$139='[1]Info I'!$G$3,$AE111/$R$11/(1+$AF111),"Error")))</f>
        <v/>
      </c>
      <c r="AA111" s="352">
        <f>IF($AG111="","",IF($AH111="USD",$AG111,IF($AH111=Data!$AD$3,$AG111/$R$11,"Error")))</f>
        <v>0</v>
      </c>
      <c r="AB111" s="353" t="str">
        <f>IF($AI111="","",IF($AJ111="USD",$AI111,IF($AJ111='[1]Info I'!$G$3,$AI111/$R$11,"Error")))</f>
        <v/>
      </c>
      <c r="AC111" s="354" t="str">
        <f t="shared" si="37"/>
        <v/>
      </c>
      <c r="AD111" s="355" t="str">
        <f t="shared" si="38"/>
        <v/>
      </c>
      <c r="AE111" s="172" t="str">
        <f t="shared" si="39"/>
        <v/>
      </c>
      <c r="AF111" s="173" t="str">
        <f>IFERROR(IF(T111="","",VLOOKUP(T111,Data!V:Z,4,FALSE)),"Error")</f>
        <v/>
      </c>
      <c r="AG111" s="172">
        <f t="shared" si="40"/>
        <v>0</v>
      </c>
      <c r="AH111" s="174" t="str">
        <f>IF(AG111="","",IF(K111="","Error",K111))</f>
        <v>MXN</v>
      </c>
      <c r="AI111" s="172" t="str">
        <f t="shared" si="41"/>
        <v/>
      </c>
      <c r="AJ111" s="174" t="str">
        <f t="shared" si="42"/>
        <v/>
      </c>
    </row>
    <row r="112" spans="1:36" ht="18.75">
      <c r="A112" s="119"/>
      <c r="B112" s="451" t="str">
        <f>IF(Planner!C179="","","Dance Floor - "&amp;Planner!C179)</f>
        <v/>
      </c>
      <c r="C112" s="452"/>
      <c r="D112" s="148" t="str">
        <f>_xlfn.XLOOKUP(Planner!$C$179,Data!$P:$P,Data!$N:$N,"")</f>
        <v/>
      </c>
      <c r="E112" s="151">
        <v>1</v>
      </c>
      <c r="F112" s="155">
        <f>_xlfn.XLOOKUP(Planner!$C$179,Data!$P:$P,Data!$Q:$Q,"")</f>
        <v>0</v>
      </c>
      <c r="G112" s="155">
        <f t="shared" si="33"/>
        <v>0</v>
      </c>
      <c r="H112" s="148" t="s">
        <v>21</v>
      </c>
      <c r="I112" s="119">
        <f>_xlfn.XLOOKUP(Planner!$C$179,Data!P:P,Data!O:O,"")</f>
        <v>0</v>
      </c>
      <c r="J112" s="312">
        <f>_xlfn.XLOOKUP(Planner!$C$179,Data!P:P,Data!R:R,"")</f>
        <v>0</v>
      </c>
      <c r="K112" s="118" t="str">
        <f>_xlfn.XLOOKUP(Planner!$C$179,Data!P:P,Data!S:S,"")</f>
        <v>MXN</v>
      </c>
      <c r="L112" s="157"/>
      <c r="M112" s="119"/>
      <c r="O112" s="312"/>
      <c r="P112" s="312"/>
      <c r="R112" s="157"/>
      <c r="T112" s="168" t="str">
        <f t="shared" si="31"/>
        <v/>
      </c>
      <c r="U112" s="169" t="str">
        <f>IF($AE112="","",IF($H$139="USD",$AE112/(1+$AF112),IF($H$139='[1]Info I'!$G$3,$AE112/$R$12/(1+$AF112),"Error")))</f>
        <v/>
      </c>
      <c r="V112" s="170">
        <f>IF($AG112="","",IF($AH112="USD",$AG112,IF($AH112=Data!$AD$3,$AG112/$R$12,"Error")))</f>
        <v>0</v>
      </c>
      <c r="W112" s="171" t="str">
        <f>IF($AI112="","",IF($AJ112="USD",$AI112,IF($AJ112='[1]Info I'!$G$3,$AI112/$R$12,"Error")))</f>
        <v/>
      </c>
      <c r="X112" s="169" t="str">
        <f t="shared" si="25"/>
        <v/>
      </c>
      <c r="Y112" s="332" t="str">
        <f t="shared" si="26"/>
        <v/>
      </c>
      <c r="Z112" s="351" t="str">
        <f>IF($AE112="","",IF($H$139="USD",$AE112/(1+$AF112),IF($H$139='[1]Info I'!$G$3,$AE112/$R$11/(1+$AF112),"Error")))</f>
        <v/>
      </c>
      <c r="AA112" s="352">
        <f>IF($AG112="","",IF($AH112="USD",$AG112,IF($AH112=Data!$AD$3,$AG112/$R$11,"Error")))</f>
        <v>0</v>
      </c>
      <c r="AB112" s="353" t="str">
        <f>IF($AI112="","",IF($AJ112="USD",$AI112,IF($AJ112='[1]Info I'!$G$3,$AI112/$R$11,"Error")))</f>
        <v/>
      </c>
      <c r="AC112" s="354" t="str">
        <f t="shared" si="37"/>
        <v/>
      </c>
      <c r="AD112" s="355" t="str">
        <f t="shared" si="38"/>
        <v/>
      </c>
      <c r="AE112" s="172" t="str">
        <f t="shared" si="39"/>
        <v/>
      </c>
      <c r="AF112" s="173" t="str">
        <f>IFERROR(IF(T112="","",VLOOKUP(T112,Data!V:Z,4,FALSE)),"Error")</f>
        <v/>
      </c>
      <c r="AG112" s="172">
        <f t="shared" si="40"/>
        <v>0</v>
      </c>
      <c r="AH112" s="174" t="str">
        <f>IF(AG112="","",IF(K112="","Error",K112))</f>
        <v>MXN</v>
      </c>
      <c r="AI112" s="172" t="str">
        <f t="shared" si="41"/>
        <v/>
      </c>
      <c r="AJ112" s="174" t="str">
        <f t="shared" si="42"/>
        <v/>
      </c>
    </row>
    <row r="113" spans="1:36" ht="18.75">
      <c r="A113" s="119"/>
      <c r="B113" s="451" t="str">
        <f>IF(Planner!F178="","","DJ Booth - "&amp;Planner!F178)</f>
        <v/>
      </c>
      <c r="C113" s="452"/>
      <c r="D113" s="148" t="str">
        <f>_xlfn.XLOOKUP(Planner!$F$178,Data!$P:$P,Data!$N:$N,"")</f>
        <v/>
      </c>
      <c r="E113" s="151">
        <v>1</v>
      </c>
      <c r="F113" s="155">
        <f>_xlfn.XLOOKUP(Planner!$F$178,Data!$P:$P,Data!$Q:$Q,"")</f>
        <v>0</v>
      </c>
      <c r="G113" s="155">
        <f t="shared" si="33"/>
        <v>0</v>
      </c>
      <c r="H113" s="148" t="s">
        <v>21</v>
      </c>
      <c r="I113" s="119">
        <f>_xlfn.XLOOKUP(Planner!$F$178,Data!P:P,Data!O:O,"")</f>
        <v>0</v>
      </c>
      <c r="J113" s="312">
        <f>_xlfn.XLOOKUP(Planner!$F$178,Data!P:P,Data!R:R,"")</f>
        <v>0</v>
      </c>
      <c r="K113" s="118" t="str">
        <f>_xlfn.XLOOKUP(Planner!$F$178,Data!P:P,Data!S:S,"")</f>
        <v>MXN</v>
      </c>
      <c r="L113" s="157"/>
      <c r="M113" s="119"/>
      <c r="O113" s="312"/>
      <c r="P113" s="312"/>
      <c r="R113" s="157"/>
      <c r="T113" s="168" t="str">
        <f t="shared" si="31"/>
        <v/>
      </c>
      <c r="U113" s="169" t="str">
        <f>IF($AE113="","",IF($H$139="USD",$AE113/(1+$AF113),IF($H$139='[1]Info I'!$G$3,$AE113/$R$12/(1+$AF113),"Error")))</f>
        <v/>
      </c>
      <c r="V113" s="170">
        <f>IF($AG113="","",IF($AH113="USD",$AG113,IF($AH113=Data!$AD$3,$AG113/$R$12,"Error")))</f>
        <v>0</v>
      </c>
      <c r="W113" s="171" t="str">
        <f>IF($AI113="","",IF($AJ113="USD",$AI113,IF($AJ113='[1]Info I'!$G$3,$AI113/$R$12,"Error")))</f>
        <v/>
      </c>
      <c r="X113" s="169" t="str">
        <f t="shared" si="25"/>
        <v/>
      </c>
      <c r="Y113" s="332" t="str">
        <f t="shared" si="26"/>
        <v/>
      </c>
      <c r="Z113" s="351" t="str">
        <f>IF($AE113="","",IF($H$139="USD",$AE113/(1+$AF113),IF($H$139='[1]Info I'!$G$3,$AE113/$R$11/(1+$AF113),"Error")))</f>
        <v/>
      </c>
      <c r="AA113" s="352">
        <f>IF($AG113="","",IF($AH113="USD",$AG113,IF($AH113=Data!$AD$3,$AG113/$R$11,"Error")))</f>
        <v>0</v>
      </c>
      <c r="AB113" s="353" t="str">
        <f>IF($AI113="","",IF($AJ113="USD",$AI113,IF($AJ113='[1]Info I'!$G$3,$AI113/$R$11,"Error")))</f>
        <v/>
      </c>
      <c r="AC113" s="354" t="str">
        <f t="shared" si="37"/>
        <v/>
      </c>
      <c r="AD113" s="355" t="str">
        <f t="shared" si="38"/>
        <v/>
      </c>
      <c r="AE113" s="172" t="str">
        <f t="shared" si="39"/>
        <v/>
      </c>
      <c r="AF113" s="173" t="str">
        <f>IFERROR(IF(T113="","",VLOOKUP(T113,Data!V:Z,4,FALSE)),"Error")</f>
        <v/>
      </c>
      <c r="AG113" s="172">
        <f t="shared" si="40"/>
        <v>0</v>
      </c>
      <c r="AH113" s="174" t="str">
        <f>IF(AG113="","",IF(K113="","Error",K113))</f>
        <v>MXN</v>
      </c>
      <c r="AI113" s="172" t="str">
        <f t="shared" si="41"/>
        <v/>
      </c>
      <c r="AJ113" s="174" t="str">
        <f t="shared" si="42"/>
        <v/>
      </c>
    </row>
    <row r="114" spans="1:36" ht="18.75">
      <c r="A114" s="119"/>
      <c r="B114" s="451">
        <f>Planner!H178</f>
        <v>0</v>
      </c>
      <c r="C114" s="452"/>
      <c r="D114" s="148" t="str">
        <f>_xlfn.XLOOKUP(Invoice!B114,Data!$P:$P,Data!$N:$N,"")</f>
        <v/>
      </c>
      <c r="E114" s="151">
        <v>1</v>
      </c>
      <c r="F114" s="155" t="str">
        <f>_xlfn.XLOOKUP($B114,Data!$P:$P,Data!$Q:$Q,"")</f>
        <v/>
      </c>
      <c r="G114" s="155" t="str">
        <f t="shared" si="33"/>
        <v/>
      </c>
      <c r="H114" s="148" t="s">
        <v>21</v>
      </c>
      <c r="I114" s="119" t="str">
        <f>_xlfn.XLOOKUP(B114,Data!P:P,Data!O:O,"")</f>
        <v/>
      </c>
      <c r="J114" s="312" t="str">
        <f>_xlfn.XLOOKUP(B114,Data!P:P,Data!R:R,"")</f>
        <v/>
      </c>
      <c r="K114" s="118" t="str">
        <f>_xlfn.XLOOKUP(B114,Data!P:P,Data!S:S,"")</f>
        <v/>
      </c>
      <c r="L114" s="157"/>
      <c r="M114" s="119"/>
      <c r="O114" s="312"/>
      <c r="P114" s="312"/>
      <c r="R114" s="157"/>
      <c r="T114" s="168" t="str">
        <f t="shared" si="31"/>
        <v/>
      </c>
      <c r="U114" s="169" t="str">
        <f>IF($AE114="","",IF($H$139="USD",$AE114/(1+$AF114),IF($H$139='[1]Info I'!$G$3,$AE114/$R$12/(1+$AF114),"Error")))</f>
        <v/>
      </c>
      <c r="V114" s="170" t="str">
        <f>IF($AG114="","",IF($AH114="USD",$AG114,IF($AH114=Data!$AD$3,$AG114/$R$12,"Error")))</f>
        <v/>
      </c>
      <c r="W114" s="171" t="str">
        <f>IF($AI114="","",IF($AJ114="USD",$AI114,IF($AJ114='[1]Info I'!$G$3,$AI114/$R$12,"Error")))</f>
        <v/>
      </c>
      <c r="X114" s="169" t="str">
        <f>IFERROR(IF(+IF(V114="",0,V114)+IF(W114="",0,W114)=0,"",+IF(V114="",0,V114)+IF(W114="",0,W114)),"Error")</f>
        <v/>
      </c>
      <c r="Y114" s="332" t="str">
        <f>IFERROR(+(U114-X114)/U114,"")</f>
        <v/>
      </c>
      <c r="Z114" s="351" t="str">
        <f>IF($AE114="","",IF($H$139="USD",$AE114/(1+$AF114),IF($H$139='[1]Info I'!$G$3,$AE114/$R$11/(1+$AF114),"Error")))</f>
        <v/>
      </c>
      <c r="AA114" s="352" t="str">
        <f>IF($AG114="","",IF($AH114="USD",$AG114,IF($AH114=Data!$AD$3,$AG114/$R$11,"Error")))</f>
        <v/>
      </c>
      <c r="AB114" s="353" t="str">
        <f>IF($AI114="","",IF($AJ114="USD",$AI114,IF($AJ114='[1]Info I'!$G$3,$AI114/$R$11,"Error")))</f>
        <v/>
      </c>
      <c r="AC114" s="354" t="str">
        <f t="shared" si="37"/>
        <v/>
      </c>
      <c r="AD114" s="355" t="str">
        <f t="shared" si="38"/>
        <v/>
      </c>
      <c r="AE114" s="172" t="str">
        <f t="shared" si="39"/>
        <v/>
      </c>
      <c r="AF114" s="173" t="str">
        <f>IFERROR(IF(T114="","",VLOOKUP(T114,Data!V:Z,4,FALSE)),"Error")</f>
        <v/>
      </c>
      <c r="AG114" s="172" t="str">
        <f t="shared" si="40"/>
        <v/>
      </c>
      <c r="AH114" s="174" t="str">
        <f>IF(AG114="","",IF(K114="","Error",K114))</f>
        <v/>
      </c>
      <c r="AI114" s="172" t="str">
        <f t="shared" si="41"/>
        <v/>
      </c>
      <c r="AJ114" s="174" t="str">
        <f t="shared" si="42"/>
        <v/>
      </c>
    </row>
    <row r="115" spans="1:36" ht="18.75">
      <c r="A115" s="119"/>
      <c r="B115" s="451" t="str">
        <f>IF(Planner!G179="","","Bistro - "&amp;Planner!G179)</f>
        <v/>
      </c>
      <c r="C115" s="452"/>
      <c r="D115" s="148" t="str">
        <f>_xlfn.XLOOKUP(Planner!$G$179,Data!$P:$P,Data!$N:$N,"")</f>
        <v/>
      </c>
      <c r="E115" s="151">
        <v>1</v>
      </c>
      <c r="F115" s="155">
        <f>_xlfn.XLOOKUP(Planner!$G$179,Data!$P:$P,Data!$Q:$Q,"")</f>
        <v>0</v>
      </c>
      <c r="G115" s="155">
        <f t="shared" si="33"/>
        <v>0</v>
      </c>
      <c r="H115" s="148" t="s">
        <v>21</v>
      </c>
      <c r="I115" s="119">
        <f>_xlfn.XLOOKUP(Planner!$G$179,Data!P:P,Data!O:O,"")</f>
        <v>0</v>
      </c>
      <c r="J115" s="312">
        <f>_xlfn.XLOOKUP(Planner!$G$179,Data!P:P,Data!R:R,"")</f>
        <v>0</v>
      </c>
      <c r="K115" s="118" t="str">
        <f>_xlfn.XLOOKUP(Planner!$G$179,Data!P:P,Data!S:S,"")</f>
        <v>MXN</v>
      </c>
      <c r="L115" s="157"/>
      <c r="M115" s="119"/>
      <c r="O115" s="312"/>
      <c r="P115" s="312"/>
      <c r="R115" s="157"/>
      <c r="T115" s="168" t="str">
        <f t="shared" si="31"/>
        <v/>
      </c>
      <c r="U115" s="169" t="str">
        <f>IF($AE115="","",IF($H$139="USD",$AE115/(1+$AF115),IF($H$139='[1]Info I'!$G$3,$AE115/$R$12/(1+$AF115),"Error")))</f>
        <v/>
      </c>
      <c r="V115" s="170">
        <f>IF($AG115="","",IF($AH115="USD",$AG115,IF($AH115=Data!$AD$3,$AG115/$R$12,"Error")))</f>
        <v>0</v>
      </c>
      <c r="W115" s="171" t="str">
        <f>IF($AI115="","",IF($AJ115="USD",$AI115,IF($AJ115='[1]Info I'!$G$3,$AI115/$R$12,"Error")))</f>
        <v/>
      </c>
      <c r="X115" s="169" t="str">
        <f t="shared" ref="X115:X138" si="43">IFERROR(IF(+IF(V115="",0,V115)+IF(W115="",0,W115)=0,"",+IF(V115="",0,V115)+IF(W115="",0,W115)),"Error")</f>
        <v/>
      </c>
      <c r="Y115" s="332" t="str">
        <f t="shared" ref="Y115:Y138" si="44">IFERROR(+(U115-X115)/U115,"")</f>
        <v/>
      </c>
      <c r="Z115" s="351" t="str">
        <f>IF($AE115="","",IF($H$139="USD",$AE115/(1+$AF115),IF($H$139='[1]Info I'!$G$3,$AE115/$R$11/(1+$AF115),"Error")))</f>
        <v/>
      </c>
      <c r="AA115" s="352">
        <f>IF($AG115="","",IF($AH115="USD",$AG115,IF($AH115=Data!$AD$3,$AG115/$R$11,"Error")))</f>
        <v>0</v>
      </c>
      <c r="AB115" s="353" t="str">
        <f>IF($AI115="","",IF($AJ115="USD",$AI115,IF($AJ115='[1]Info I'!$G$3,$AI115/$R$11,"Error")))</f>
        <v/>
      </c>
      <c r="AC115" s="354" t="str">
        <f t="shared" si="37"/>
        <v/>
      </c>
      <c r="AD115" s="355" t="str">
        <f t="shared" si="38"/>
        <v/>
      </c>
      <c r="AE115" s="172" t="str">
        <f t="shared" si="39"/>
        <v/>
      </c>
      <c r="AF115" s="173" t="str">
        <f>IFERROR(IF(T115="","",VLOOKUP(T115,Data!V:Z,4,FALSE)),"Error")</f>
        <v/>
      </c>
      <c r="AG115" s="172">
        <f t="shared" si="40"/>
        <v>0</v>
      </c>
      <c r="AH115" s="174" t="str">
        <f t="shared" ref="AH115:AH138" si="45">IF(AG115="","",IF(K115="","Error",K115))</f>
        <v>MXN</v>
      </c>
      <c r="AI115" s="172" t="str">
        <f t="shared" si="41"/>
        <v/>
      </c>
      <c r="AJ115" s="174" t="str">
        <f t="shared" si="42"/>
        <v/>
      </c>
    </row>
    <row r="116" spans="1:36" ht="18.75">
      <c r="A116" s="119"/>
      <c r="B116" s="451">
        <f>Planner!G180</f>
        <v>0</v>
      </c>
      <c r="C116" s="452"/>
      <c r="D116" s="148" t="str">
        <f>_xlfn.XLOOKUP(Invoice!$B$116,Data!$P:$P,Data!$N:$N,"")</f>
        <v/>
      </c>
      <c r="E116" s="151">
        <v>1</v>
      </c>
      <c r="F116" s="155" t="str">
        <f>_xlfn.XLOOKUP($B116,Data!$P:$P,Data!$Q:$Q,"")</f>
        <v/>
      </c>
      <c r="G116" s="155" t="str">
        <f t="shared" si="33"/>
        <v/>
      </c>
      <c r="H116" s="148" t="s">
        <v>21</v>
      </c>
      <c r="I116" s="119" t="str">
        <f>_xlfn.XLOOKUP(B116,Data!P:P,Data!O:O,"")</f>
        <v/>
      </c>
      <c r="J116" s="312" t="str">
        <f>_xlfn.XLOOKUP(B116,Data!P:P,Data!R:R,"")</f>
        <v/>
      </c>
      <c r="K116" s="118" t="str">
        <f>_xlfn.XLOOKUP(B116,Data!P:P,Data!S:S,"")</f>
        <v/>
      </c>
      <c r="L116" s="157"/>
      <c r="M116" s="119"/>
      <c r="O116" s="312"/>
      <c r="P116" s="312"/>
      <c r="R116" s="157"/>
      <c r="T116" s="168" t="str">
        <f t="shared" si="31"/>
        <v/>
      </c>
      <c r="U116" s="169" t="str">
        <f>IF($AE116="","",IF($H$139="USD",$AE116/(1+$AF116),IF($H$139='[1]Info I'!$G$3,$AE116/$R$12/(1+$AF116),"Error")))</f>
        <v/>
      </c>
      <c r="V116" s="170" t="str">
        <f>IF($AG116="","",IF($AH116="USD",$AG116,IF($AH116=Data!$AD$3,$AG116/$R$12,"Error")))</f>
        <v/>
      </c>
      <c r="W116" s="171" t="str">
        <f>IF($AI116="","",IF($AJ116="USD",$AI116,IF($AJ116='[1]Info I'!$G$3,$AI116/$R$12,"Error")))</f>
        <v/>
      </c>
      <c r="X116" s="169" t="str">
        <f t="shared" si="43"/>
        <v/>
      </c>
      <c r="Y116" s="332" t="str">
        <f t="shared" si="44"/>
        <v/>
      </c>
      <c r="Z116" s="351" t="str">
        <f>IF($AE116="","",IF($H$139="USD",$AE116/(1+$AF116),IF($H$139='[1]Info I'!$G$3,$AE116/$R$11/(1+$AF116),"Error")))</f>
        <v/>
      </c>
      <c r="AA116" s="352" t="str">
        <f>IF($AG116="","",IF($AH116="USD",$AG116,IF($AH116=Data!$AD$3,$AG116/$R$11,"Error")))</f>
        <v/>
      </c>
      <c r="AB116" s="353" t="str">
        <f>IF($AI116="","",IF($AJ116="USD",$AI116,IF($AJ116='[1]Info I'!$G$3,$AI116/$R$11,"Error")))</f>
        <v/>
      </c>
      <c r="AC116" s="354" t="str">
        <f t="shared" si="37"/>
        <v/>
      </c>
      <c r="AD116" s="355" t="str">
        <f t="shared" si="38"/>
        <v/>
      </c>
      <c r="AE116" s="172" t="str">
        <f t="shared" si="39"/>
        <v/>
      </c>
      <c r="AF116" s="173" t="str">
        <f>IFERROR(IF(T116="","",VLOOKUP(T116,Data!V:Z,4,FALSE)),"Error")</f>
        <v/>
      </c>
      <c r="AG116" s="172" t="str">
        <f t="shared" si="40"/>
        <v/>
      </c>
      <c r="AH116" s="174" t="str">
        <f t="shared" si="45"/>
        <v/>
      </c>
      <c r="AI116" s="172" t="str">
        <f t="shared" si="41"/>
        <v/>
      </c>
      <c r="AJ116" s="174" t="str">
        <f t="shared" si="42"/>
        <v/>
      </c>
    </row>
    <row r="117" spans="1:36" ht="18.75">
      <c r="A117" s="119"/>
      <c r="B117" s="451">
        <f>Planner!C180</f>
        <v>0</v>
      </c>
      <c r="C117" s="452"/>
      <c r="D117" s="148" t="str">
        <f>_xlfn.XLOOKUP(Invoice!B117,Data!$P:$P,Data!$N:$N,"")</f>
        <v/>
      </c>
      <c r="E117" s="151">
        <v>1</v>
      </c>
      <c r="F117" s="155" t="str">
        <f>_xlfn.XLOOKUP($B117,Data!$P:$P,Data!$Q:$Q,"")</f>
        <v/>
      </c>
      <c r="G117" s="155" t="str">
        <f t="shared" si="33"/>
        <v/>
      </c>
      <c r="H117" s="148" t="s">
        <v>21</v>
      </c>
      <c r="I117" s="119" t="str">
        <f>_xlfn.XLOOKUP(B117,Data!P:P,Data!O:O,"")</f>
        <v/>
      </c>
      <c r="J117" s="312" t="str">
        <f>_xlfn.XLOOKUP(B117,Data!P:P,Data!R:R,"")</f>
        <v/>
      </c>
      <c r="K117" s="118" t="str">
        <f>_xlfn.XLOOKUP(B117,Data!P:P,Data!S:S,"")</f>
        <v/>
      </c>
      <c r="L117" s="157"/>
      <c r="M117" s="119"/>
      <c r="O117" s="312"/>
      <c r="P117" s="312"/>
      <c r="R117" s="157"/>
      <c r="T117" s="168" t="str">
        <f t="shared" si="31"/>
        <v/>
      </c>
      <c r="U117" s="169" t="str">
        <f>IF($AE117="","",IF($H$139="USD",$AE117/(1+$AF117),IF($H$139='[1]Info I'!$G$3,$AE117/$R$12/(1+$AF117),"Error")))</f>
        <v/>
      </c>
      <c r="V117" s="170" t="str">
        <f>IF($AG117="","",IF($AH117="USD",$AG117,IF($AH117=Data!$AD$3,$AG117/$R$12,"Error")))</f>
        <v/>
      </c>
      <c r="W117" s="171" t="str">
        <f>IF($AI117="","",IF($AJ117="USD",$AI117,IF($AJ117='[1]Info I'!$G$3,$AI117/$R$12,"Error")))</f>
        <v/>
      </c>
      <c r="X117" s="169" t="str">
        <f t="shared" si="43"/>
        <v/>
      </c>
      <c r="Y117" s="332" t="str">
        <f t="shared" si="44"/>
        <v/>
      </c>
      <c r="Z117" s="351" t="str">
        <f>IF($AE117="","",IF($H$139="USD",$AE117/(1+$AF117),IF($H$139='[1]Info I'!$G$3,$AE117/$R$11/(1+$AF117),"Error")))</f>
        <v/>
      </c>
      <c r="AA117" s="352" t="str">
        <f>IF($AG117="","",IF($AH117="USD",$AG117,IF($AH117=Data!$AD$3,$AG117/$R$11,"Error")))</f>
        <v/>
      </c>
      <c r="AB117" s="353" t="str">
        <f>IF($AI117="","",IF($AJ117="USD",$AI117,IF($AJ117='[1]Info I'!$G$3,$AI117/$R$11,"Error")))</f>
        <v/>
      </c>
      <c r="AC117" s="354" t="str">
        <f t="shared" si="37"/>
        <v/>
      </c>
      <c r="AD117" s="355" t="str">
        <f t="shared" si="38"/>
        <v/>
      </c>
      <c r="AE117" s="172" t="str">
        <f t="shared" si="39"/>
        <v/>
      </c>
      <c r="AF117" s="173" t="str">
        <f>IFERROR(IF(T117="","",VLOOKUP(T117,Data!V:Z,4,FALSE)),"Error")</f>
        <v/>
      </c>
      <c r="AG117" s="172" t="str">
        <f t="shared" si="40"/>
        <v/>
      </c>
      <c r="AH117" s="174" t="str">
        <f t="shared" si="45"/>
        <v/>
      </c>
      <c r="AI117" s="172" t="str">
        <f t="shared" si="41"/>
        <v/>
      </c>
      <c r="AJ117" s="174" t="str">
        <f t="shared" si="42"/>
        <v/>
      </c>
    </row>
    <row r="118" spans="1:36" ht="18.75">
      <c r="A118" s="119"/>
      <c r="B118" s="451">
        <f>Planner!C183</f>
        <v>0</v>
      </c>
      <c r="C118" s="452"/>
      <c r="D118" s="148" t="str">
        <f>_xlfn.XLOOKUP(Invoice!B118,Data!$P:$P,Data!$N:$N,"")</f>
        <v/>
      </c>
      <c r="E118" s="151">
        <v>1</v>
      </c>
      <c r="F118" s="155" t="str">
        <f>_xlfn.XLOOKUP($B118,Data!$P:$P,Data!$Q:$Q,"")</f>
        <v/>
      </c>
      <c r="G118" s="155" t="str">
        <f t="shared" si="33"/>
        <v/>
      </c>
      <c r="H118" s="148" t="s">
        <v>21</v>
      </c>
      <c r="I118" s="119" t="str">
        <f>_xlfn.XLOOKUP(B118,Data!P:P,Data!O:O,"")</f>
        <v/>
      </c>
      <c r="J118" s="312" t="str">
        <f>_xlfn.XLOOKUP(B118,Data!P:P,Data!R:R,"")</f>
        <v/>
      </c>
      <c r="K118" s="118" t="str">
        <f>_xlfn.XLOOKUP(B118,Data!P:P,Data!S:S,"")</f>
        <v/>
      </c>
      <c r="L118" s="157"/>
      <c r="M118" s="119"/>
      <c r="O118" s="312"/>
      <c r="P118" s="312"/>
      <c r="R118" s="157"/>
      <c r="T118" s="168" t="str">
        <f t="shared" si="31"/>
        <v/>
      </c>
      <c r="U118" s="169" t="str">
        <f>IF($AE118="","",IF($H$139="USD",$AE118/(1+$AF118),IF($H$139='[1]Info I'!$G$3,$AE118/$R$12/(1+$AF118),"Error")))</f>
        <v/>
      </c>
      <c r="V118" s="170" t="str">
        <f>IF($AG118="","",IF($AH118="USD",$AG118,IF($AH118=Data!$AD$3,$AG118/$R$12,"Error")))</f>
        <v/>
      </c>
      <c r="W118" s="171" t="str">
        <f>IF($AI118="","",IF($AJ118="USD",$AI118,IF($AJ118='[1]Info I'!$G$3,$AI118/$R$12,"Error")))</f>
        <v/>
      </c>
      <c r="X118" s="169" t="str">
        <f t="shared" si="43"/>
        <v/>
      </c>
      <c r="Y118" s="332" t="str">
        <f t="shared" si="44"/>
        <v/>
      </c>
      <c r="Z118" s="351" t="str">
        <f>IF($AE118="","",IF($H$139="USD",$AE118/(1+$AF118),IF($H$139='[1]Info I'!$G$3,$AE118/$R$11/(1+$AF118),"Error")))</f>
        <v/>
      </c>
      <c r="AA118" s="352" t="str">
        <f>IF($AG118="","",IF($AH118="USD",$AG118,IF($AH118=Data!$AD$3,$AG118/$R$11,"Error")))</f>
        <v/>
      </c>
      <c r="AB118" s="353" t="str">
        <f>IF($AI118="","",IF($AJ118="USD",$AI118,IF($AJ118='[1]Info I'!$G$3,$AI118/$R$11,"Error")))</f>
        <v/>
      </c>
      <c r="AC118" s="354" t="str">
        <f t="shared" si="37"/>
        <v/>
      </c>
      <c r="AD118" s="355" t="str">
        <f t="shared" si="38"/>
        <v/>
      </c>
      <c r="AE118" s="172" t="str">
        <f t="shared" si="39"/>
        <v/>
      </c>
      <c r="AF118" s="173" t="str">
        <f>IFERROR(IF(T118="","",VLOOKUP(T118,Data!V:Z,4,FALSE)),"Error")</f>
        <v/>
      </c>
      <c r="AG118" s="172" t="str">
        <f t="shared" si="40"/>
        <v/>
      </c>
      <c r="AH118" s="174" t="str">
        <f t="shared" si="45"/>
        <v/>
      </c>
      <c r="AI118" s="172" t="str">
        <f t="shared" si="41"/>
        <v/>
      </c>
      <c r="AJ118" s="174" t="str">
        <f t="shared" si="42"/>
        <v/>
      </c>
    </row>
    <row r="119" spans="1:36" ht="18.75">
      <c r="A119" s="119"/>
      <c r="B119" s="451">
        <f>Planner!C184</f>
        <v>0</v>
      </c>
      <c r="C119" s="452"/>
      <c r="D119" s="148" t="str">
        <f>_xlfn.XLOOKUP(Invoice!B119,Data!$P:$P,Data!$N:$N,"")</f>
        <v/>
      </c>
      <c r="E119" s="151">
        <v>1</v>
      </c>
      <c r="F119" s="155" t="str">
        <f>_xlfn.XLOOKUP($B119,Data!$P:$P,Data!$Q:$Q,"")</f>
        <v/>
      </c>
      <c r="G119" s="155" t="str">
        <f t="shared" si="33"/>
        <v/>
      </c>
      <c r="H119" s="148" t="s">
        <v>21</v>
      </c>
      <c r="I119" s="119" t="str">
        <f>_xlfn.XLOOKUP(B119,Data!P:P,Data!O:O,"")</f>
        <v/>
      </c>
      <c r="J119" s="312" t="str">
        <f>_xlfn.XLOOKUP(B119,Data!P:P,Data!R:R,"")</f>
        <v/>
      </c>
      <c r="K119" s="118" t="str">
        <f>_xlfn.XLOOKUP(B119,Data!P:P,Data!S:S,"")</f>
        <v/>
      </c>
      <c r="L119" s="157"/>
      <c r="M119" s="119"/>
      <c r="O119" s="312"/>
      <c r="P119" s="312"/>
      <c r="R119" s="157"/>
      <c r="T119" s="168" t="str">
        <f t="shared" si="31"/>
        <v/>
      </c>
      <c r="U119" s="169" t="str">
        <f>IF($AE119="","",IF($H$139="USD",$AE119/(1+$AF119),IF($H$139='[1]Info I'!$G$3,$AE119/$R$12/(1+$AF119),"Error")))</f>
        <v/>
      </c>
      <c r="V119" s="170" t="str">
        <f>IF($AG119="","",IF($AH119="USD",$AG119,IF($AH119=Data!$AD$3,$AG119/$R$12,"Error")))</f>
        <v/>
      </c>
      <c r="W119" s="171" t="str">
        <f>IF($AI119="","",IF($AJ119="USD",$AI119,IF($AJ119='[1]Info I'!$G$3,$AI119/$R$12,"Error")))</f>
        <v/>
      </c>
      <c r="X119" s="169" t="str">
        <f t="shared" si="43"/>
        <v/>
      </c>
      <c r="Y119" s="332" t="str">
        <f t="shared" si="44"/>
        <v/>
      </c>
      <c r="Z119" s="351" t="str">
        <f>IF($AE119="","",IF($H$139="USD",$AE119/(1+$AF119),IF($H$139='[1]Info I'!$G$3,$AE119/$R$11/(1+$AF119),"Error")))</f>
        <v/>
      </c>
      <c r="AA119" s="352" t="str">
        <f>IF($AG119="","",IF($AH119="USD",$AG119,IF($AH119=Data!$AD$3,$AG119/$R$11,"Error")))</f>
        <v/>
      </c>
      <c r="AB119" s="353" t="str">
        <f>IF($AI119="","",IF($AJ119="USD",$AI119,IF($AJ119='[1]Info I'!$G$3,$AI119/$R$11,"Error")))</f>
        <v/>
      </c>
      <c r="AC119" s="354" t="str">
        <f t="shared" si="37"/>
        <v/>
      </c>
      <c r="AD119" s="355" t="str">
        <f t="shared" si="38"/>
        <v/>
      </c>
      <c r="AE119" s="172" t="str">
        <f t="shared" si="39"/>
        <v/>
      </c>
      <c r="AF119" s="173" t="str">
        <f>IFERROR(IF(T119="","",VLOOKUP(T119,Data!V:Z,4,FALSE)),"Error")</f>
        <v/>
      </c>
      <c r="AG119" s="172" t="str">
        <f t="shared" si="40"/>
        <v/>
      </c>
      <c r="AH119" s="174" t="str">
        <f t="shared" si="45"/>
        <v/>
      </c>
      <c r="AI119" s="172" t="str">
        <f t="shared" si="41"/>
        <v/>
      </c>
      <c r="AJ119" s="174" t="str">
        <f t="shared" si="42"/>
        <v/>
      </c>
    </row>
    <row r="120" spans="1:36" ht="18.75">
      <c r="A120" s="119"/>
      <c r="B120" s="451">
        <f>Planner!F183</f>
        <v>0</v>
      </c>
      <c r="C120" s="452"/>
      <c r="D120" s="148" t="str">
        <f>_xlfn.XLOOKUP(Invoice!B120,Data!$P:$P,Data!$N:$N,"")</f>
        <v/>
      </c>
      <c r="E120" s="151">
        <v>1</v>
      </c>
      <c r="F120" s="155" t="str">
        <f>_xlfn.XLOOKUP($B120,Data!$P:$P,Data!$Q:$Q,"")</f>
        <v/>
      </c>
      <c r="G120" s="155" t="str">
        <f t="shared" si="33"/>
        <v/>
      </c>
      <c r="H120" s="148" t="s">
        <v>21</v>
      </c>
      <c r="I120" s="119" t="str">
        <f>_xlfn.XLOOKUP(B120,Data!P:P,Data!O:O,"")</f>
        <v/>
      </c>
      <c r="J120" s="312" t="str">
        <f>_xlfn.XLOOKUP(B120,Data!P:P,Data!R:R,"")</f>
        <v/>
      </c>
      <c r="K120" s="118" t="str">
        <f>_xlfn.XLOOKUP(B120,Data!P:P,Data!S:S,"")</f>
        <v/>
      </c>
      <c r="L120" s="157"/>
      <c r="M120" s="119"/>
      <c r="O120" s="312"/>
      <c r="P120" s="312"/>
      <c r="R120" s="157"/>
      <c r="T120" s="168" t="str">
        <f t="shared" si="31"/>
        <v/>
      </c>
      <c r="U120" s="169" t="str">
        <f>IF($AE120="","",IF($H$139="USD",$AE120/(1+$AF120),IF($H$139='[1]Info I'!$G$3,$AE120/$R$12/(1+$AF120),"Error")))</f>
        <v/>
      </c>
      <c r="V120" s="170" t="str">
        <f>IF($AG120="","",IF($AH120="USD",$AG120,IF($AH120=Data!$AD$3,$AG120/$R$12,"Error")))</f>
        <v/>
      </c>
      <c r="W120" s="171" t="str">
        <f>IF($AI120="","",IF($AJ120="USD",$AI120,IF($AJ120='[1]Info I'!$G$3,$AI120/$R$12,"Error")))</f>
        <v/>
      </c>
      <c r="X120" s="169" t="str">
        <f t="shared" si="43"/>
        <v/>
      </c>
      <c r="Y120" s="332" t="str">
        <f t="shared" si="44"/>
        <v/>
      </c>
      <c r="Z120" s="351" t="str">
        <f>IF($AE120="","",IF($H$139="USD",$AE120/(1+$AF120),IF($H$139='[1]Info I'!$G$3,$AE120/$R$11/(1+$AF120),"Error")))</f>
        <v/>
      </c>
      <c r="AA120" s="352" t="str">
        <f>IF($AG120="","",IF($AH120="USD",$AG120,IF($AH120=Data!$AD$3,$AG120/$R$11,"Error")))</f>
        <v/>
      </c>
      <c r="AB120" s="353" t="str">
        <f>IF($AI120="","",IF($AJ120="USD",$AI120,IF($AJ120='[1]Info I'!$G$3,$AI120/$R$11,"Error")))</f>
        <v/>
      </c>
      <c r="AC120" s="354" t="str">
        <f t="shared" si="37"/>
        <v/>
      </c>
      <c r="AD120" s="355" t="str">
        <f t="shared" si="38"/>
        <v/>
      </c>
      <c r="AE120" s="172" t="str">
        <f t="shared" si="39"/>
        <v/>
      </c>
      <c r="AF120" s="173" t="str">
        <f>IFERROR(IF(T120="","",VLOOKUP(T120,Data!V:Z,4,FALSE)),"Error")</f>
        <v/>
      </c>
      <c r="AG120" s="172" t="str">
        <f t="shared" si="40"/>
        <v/>
      </c>
      <c r="AH120" s="174" t="str">
        <f t="shared" si="45"/>
        <v/>
      </c>
      <c r="AI120" s="172" t="str">
        <f t="shared" si="41"/>
        <v/>
      </c>
      <c r="AJ120" s="174" t="str">
        <f t="shared" si="42"/>
        <v/>
      </c>
    </row>
    <row r="121" spans="1:36" ht="18.75">
      <c r="A121" s="119"/>
      <c r="B121" s="451">
        <f>Planner!F184</f>
        <v>0</v>
      </c>
      <c r="C121" s="452"/>
      <c r="D121" s="148" t="str">
        <f>_xlfn.XLOOKUP(Invoice!B121,Data!$P:$P,Data!$N:$N,"")</f>
        <v/>
      </c>
      <c r="E121" s="151">
        <v>1</v>
      </c>
      <c r="F121" s="155" t="str">
        <f>_xlfn.XLOOKUP($B121,Data!$P:$P,Data!$Q:$Q,"")</f>
        <v/>
      </c>
      <c r="G121" s="155" t="str">
        <f t="shared" si="33"/>
        <v/>
      </c>
      <c r="H121" s="148" t="s">
        <v>21</v>
      </c>
      <c r="I121" s="119" t="str">
        <f>_xlfn.XLOOKUP(B121,Data!P:P,Data!O:O,"")</f>
        <v/>
      </c>
      <c r="J121" s="312" t="str">
        <f>_xlfn.XLOOKUP(B121,Data!P:P,Data!R:R,"")</f>
        <v/>
      </c>
      <c r="K121" s="118" t="str">
        <f>_xlfn.XLOOKUP(B121,Data!P:P,Data!S:S,"")</f>
        <v/>
      </c>
      <c r="L121" s="157"/>
      <c r="M121" s="119"/>
      <c r="O121" s="312"/>
      <c r="P121" s="312"/>
      <c r="R121" s="157"/>
      <c r="T121" s="168" t="str">
        <f t="shared" si="31"/>
        <v/>
      </c>
      <c r="U121" s="169" t="str">
        <f>IF($AE121="","",IF($H$139="USD",$AE121/(1+$AF121),IF($H$139='[1]Info I'!$G$3,$AE121/$R$12/(1+$AF121),"Error")))</f>
        <v/>
      </c>
      <c r="V121" s="170" t="str">
        <f>IF($AG121="","",IF($AH121="USD",$AG121,IF($AH121=Data!$AD$3,$AG121/$R$12,"Error")))</f>
        <v/>
      </c>
      <c r="W121" s="171" t="str">
        <f>IF($AI121="","",IF($AJ121="USD",$AI121,IF($AJ121='[1]Info I'!$G$3,$AI121/$R$12,"Error")))</f>
        <v/>
      </c>
      <c r="X121" s="169" t="str">
        <f t="shared" si="43"/>
        <v/>
      </c>
      <c r="Y121" s="332" t="str">
        <f t="shared" si="44"/>
        <v/>
      </c>
      <c r="Z121" s="351" t="str">
        <f>IF($AE121="","",IF($H$139="USD",$AE121/(1+$AF121),IF($H$139='[1]Info I'!$G$3,$AE121/$R$11/(1+$AF121),"Error")))</f>
        <v/>
      </c>
      <c r="AA121" s="352" t="str">
        <f>IF($AG121="","",IF($AH121="USD",$AG121,IF($AH121=Data!$AD$3,$AG121/$R$11,"Error")))</f>
        <v/>
      </c>
      <c r="AB121" s="353" t="str">
        <f>IF($AI121="","",IF($AJ121="USD",$AI121,IF($AJ121='[1]Info I'!$G$3,$AI121/$R$11,"Error")))</f>
        <v/>
      </c>
      <c r="AC121" s="354" t="str">
        <f t="shared" si="37"/>
        <v/>
      </c>
      <c r="AD121" s="355" t="str">
        <f t="shared" si="38"/>
        <v/>
      </c>
      <c r="AE121" s="172" t="str">
        <f t="shared" si="39"/>
        <v/>
      </c>
      <c r="AF121" s="173" t="str">
        <f>IFERROR(IF(T121="","",VLOOKUP(T121,Data!V:Z,4,FALSE)),"Error")</f>
        <v/>
      </c>
      <c r="AG121" s="172" t="str">
        <f t="shared" si="40"/>
        <v/>
      </c>
      <c r="AH121" s="174" t="str">
        <f t="shared" si="45"/>
        <v/>
      </c>
      <c r="AI121" s="172" t="str">
        <f t="shared" si="41"/>
        <v/>
      </c>
      <c r="AJ121" s="174" t="str">
        <f t="shared" si="42"/>
        <v/>
      </c>
    </row>
    <row r="122" spans="1:36" ht="18.75">
      <c r="A122" s="119"/>
      <c r="B122" s="451">
        <f>Planner!C187</f>
        <v>0</v>
      </c>
      <c r="C122" s="452"/>
      <c r="D122" s="148" t="str">
        <f>_xlfn.XLOOKUP(Invoice!B122,Data!$P:$P,Data!$N:$N,"")</f>
        <v/>
      </c>
      <c r="E122" s="151">
        <v>1</v>
      </c>
      <c r="F122" s="155" t="str">
        <f>_xlfn.XLOOKUP($B122,Data!$P:$P,Data!$Q:$Q,"")</f>
        <v/>
      </c>
      <c r="G122" s="155" t="str">
        <f t="shared" si="33"/>
        <v/>
      </c>
      <c r="H122" s="148" t="s">
        <v>21</v>
      </c>
      <c r="I122" s="119" t="str">
        <f>_xlfn.XLOOKUP(B122,Data!P:P,Data!O:O,"")</f>
        <v/>
      </c>
      <c r="J122" s="312" t="str">
        <f>_xlfn.XLOOKUP(B122,Data!P:P,Data!R:R,"")</f>
        <v/>
      </c>
      <c r="K122" s="118" t="str">
        <f>_xlfn.XLOOKUP(B122,Data!P:P,Data!S:S,"")</f>
        <v/>
      </c>
      <c r="L122" s="157"/>
      <c r="M122" s="119"/>
      <c r="O122" s="312"/>
      <c r="P122" s="312"/>
      <c r="R122" s="157"/>
      <c r="T122" s="168" t="str">
        <f t="shared" si="31"/>
        <v/>
      </c>
      <c r="U122" s="169" t="str">
        <f>IF($AE122="","",IF($H$139="USD",$AE122/(1+$AF122),IF($H$139='[1]Info I'!$G$3,$AE122/$R$12/(1+$AF122),"Error")))</f>
        <v/>
      </c>
      <c r="V122" s="170" t="str">
        <f>IF($AG122="","",IF($AH122="USD",$AG122,IF($AH122=Data!$AD$3,$AG122/$R$12,"Error")))</f>
        <v/>
      </c>
      <c r="W122" s="171" t="str">
        <f>IF($AI122="","",IF($AJ122="USD",$AI122,IF($AJ122='[1]Info I'!$G$3,$AI122/$R$12,"Error")))</f>
        <v/>
      </c>
      <c r="X122" s="169" t="str">
        <f t="shared" si="43"/>
        <v/>
      </c>
      <c r="Y122" s="332" t="str">
        <f t="shared" si="44"/>
        <v/>
      </c>
      <c r="Z122" s="351" t="str">
        <f>IF($AE122="","",IF($H$139="USD",$AE122/(1+$AF122),IF($H$139='[1]Info I'!$G$3,$AE122/$R$11/(1+$AF122),"Error")))</f>
        <v/>
      </c>
      <c r="AA122" s="352" t="str">
        <f>IF($AG122="","",IF($AH122="USD",$AG122,IF($AH122=Data!$AD$3,$AG122/$R$11,"Error")))</f>
        <v/>
      </c>
      <c r="AB122" s="353" t="str">
        <f>IF($AI122="","",IF($AJ122="USD",$AI122,IF($AJ122='[1]Info I'!$G$3,$AI122/$R$11,"Error")))</f>
        <v/>
      </c>
      <c r="AC122" s="354" t="str">
        <f t="shared" si="37"/>
        <v/>
      </c>
      <c r="AD122" s="355" t="str">
        <f t="shared" si="38"/>
        <v/>
      </c>
      <c r="AE122" s="172" t="str">
        <f t="shared" si="39"/>
        <v/>
      </c>
      <c r="AF122" s="173" t="str">
        <f>IFERROR(IF(T122="","",VLOOKUP(T122,Data!V:Z,4,FALSE)),"Error")</f>
        <v/>
      </c>
      <c r="AG122" s="172" t="str">
        <f t="shared" si="40"/>
        <v/>
      </c>
      <c r="AH122" s="174" t="str">
        <f t="shared" si="45"/>
        <v/>
      </c>
      <c r="AI122" s="172" t="str">
        <f t="shared" si="41"/>
        <v/>
      </c>
      <c r="AJ122" s="174" t="str">
        <f t="shared" si="42"/>
        <v/>
      </c>
    </row>
    <row r="123" spans="1:36" ht="18.75">
      <c r="A123" s="119"/>
      <c r="B123" s="451">
        <f>Planner!C188</f>
        <v>0</v>
      </c>
      <c r="C123" s="452"/>
      <c r="D123" s="148" t="str">
        <f>_xlfn.XLOOKUP(Invoice!B123,Data!$P:$P,Data!$N:$N,"")</f>
        <v/>
      </c>
      <c r="E123" s="151">
        <v>1</v>
      </c>
      <c r="F123" s="155" t="str">
        <f>_xlfn.XLOOKUP($B123,Data!$P:$P,Data!$Q:$Q,"")</f>
        <v/>
      </c>
      <c r="G123" s="155" t="str">
        <f t="shared" si="33"/>
        <v/>
      </c>
      <c r="H123" s="148" t="s">
        <v>21</v>
      </c>
      <c r="I123" s="119" t="str">
        <f>_xlfn.XLOOKUP(B123,Data!P:P,Data!O:O,"")</f>
        <v/>
      </c>
      <c r="J123" s="312" t="str">
        <f>_xlfn.XLOOKUP(B123,Data!P:P,Data!R:R,"")</f>
        <v/>
      </c>
      <c r="K123" s="118" t="str">
        <f>_xlfn.XLOOKUP(B123,Data!P:P,Data!S:S,"")</f>
        <v/>
      </c>
      <c r="L123" s="157"/>
      <c r="M123" s="119"/>
      <c r="O123" s="312"/>
      <c r="P123" s="312"/>
      <c r="R123" s="157"/>
      <c r="T123" s="168" t="str">
        <f t="shared" si="31"/>
        <v/>
      </c>
      <c r="U123" s="169" t="str">
        <f>IF($AE123="","",IF($H$139="USD",$AE123/(1+$AF123),IF($H$139='[1]Info I'!$G$3,$AE123/$R$12/(1+$AF123),"Error")))</f>
        <v/>
      </c>
      <c r="V123" s="170" t="str">
        <f>IF($AG123="","",IF($AH123="USD",$AG123,IF($AH123=Data!$AD$3,$AG123/$R$12,"Error")))</f>
        <v/>
      </c>
      <c r="W123" s="171" t="str">
        <f>IF($AI123="","",IF($AJ123="USD",$AI123,IF($AJ123='[1]Info I'!$G$3,$AI123/$R$12,"Error")))</f>
        <v/>
      </c>
      <c r="X123" s="169" t="str">
        <f t="shared" si="43"/>
        <v/>
      </c>
      <c r="Y123" s="332" t="str">
        <f t="shared" si="44"/>
        <v/>
      </c>
      <c r="Z123" s="351" t="str">
        <f>IF($AE123="","",IF($H$139="USD",$AE123/(1+$AF123),IF($H$139='[1]Info I'!$G$3,$AE123/$R$11/(1+$AF123),"Error")))</f>
        <v/>
      </c>
      <c r="AA123" s="352" t="str">
        <f>IF($AG123="","",IF($AH123="USD",$AG123,IF($AH123=Data!$AD$3,$AG123/$R$11,"Error")))</f>
        <v/>
      </c>
      <c r="AB123" s="353" t="str">
        <f>IF($AI123="","",IF($AJ123="USD",$AI123,IF($AJ123='[1]Info I'!$G$3,$AI123/$R$11,"Error")))</f>
        <v/>
      </c>
      <c r="AC123" s="354" t="str">
        <f t="shared" si="37"/>
        <v/>
      </c>
      <c r="AD123" s="355" t="str">
        <f t="shared" si="38"/>
        <v/>
      </c>
      <c r="AE123" s="172" t="str">
        <f t="shared" si="39"/>
        <v/>
      </c>
      <c r="AF123" s="173" t="str">
        <f>IFERROR(IF(T123="","",VLOOKUP(T123,Data!V:Z,4,FALSE)),"Error")</f>
        <v/>
      </c>
      <c r="AG123" s="172" t="str">
        <f t="shared" si="40"/>
        <v/>
      </c>
      <c r="AH123" s="174" t="str">
        <f t="shared" si="45"/>
        <v/>
      </c>
      <c r="AI123" s="172" t="str">
        <f t="shared" si="41"/>
        <v/>
      </c>
      <c r="AJ123" s="174" t="str">
        <f t="shared" si="42"/>
        <v/>
      </c>
    </row>
    <row r="124" spans="1:36" ht="18.75">
      <c r="A124" s="119"/>
      <c r="B124" s="451">
        <f>Planner!G187</f>
        <v>0</v>
      </c>
      <c r="C124" s="452"/>
      <c r="D124" s="148" t="str">
        <f>_xlfn.XLOOKUP(Invoice!B124,Data!$P:$P,Data!$N:$N,"")</f>
        <v/>
      </c>
      <c r="E124" s="151">
        <v>1</v>
      </c>
      <c r="F124" s="155" t="str">
        <f>_xlfn.XLOOKUP($B124,Data!$P:$P,Data!$Q:$Q,"")</f>
        <v/>
      </c>
      <c r="G124" s="155" t="str">
        <f t="shared" si="33"/>
        <v/>
      </c>
      <c r="H124" s="148" t="s">
        <v>21</v>
      </c>
      <c r="I124" s="119" t="str">
        <f>_xlfn.XLOOKUP(B124,Data!P:P,Data!O:O,"")</f>
        <v/>
      </c>
      <c r="J124" s="312" t="str">
        <f>_xlfn.XLOOKUP(B124,Data!P:P,Data!R:R,"")</f>
        <v/>
      </c>
      <c r="K124" s="118" t="str">
        <f>_xlfn.XLOOKUP(B124,Data!P:P,Data!S:S,"")</f>
        <v/>
      </c>
      <c r="L124" s="157"/>
      <c r="M124" s="119"/>
      <c r="O124" s="312"/>
      <c r="P124" s="312"/>
      <c r="R124" s="157"/>
      <c r="T124" s="168" t="str">
        <f t="shared" si="31"/>
        <v/>
      </c>
      <c r="U124" s="169" t="str">
        <f>IF($AE124="","",IF($H$139="USD",$AE124/(1+$AF124),IF($H$139='[1]Info I'!$G$3,$AE124/$R$12/(1+$AF124),"Error")))</f>
        <v/>
      </c>
      <c r="V124" s="170" t="str">
        <f>IF($AG124="","",IF($AH124="USD",$AG124,IF($AH124=Data!$AD$3,$AG124/$R$12,"Error")))</f>
        <v/>
      </c>
      <c r="W124" s="171" t="str">
        <f>IF($AI124="","",IF($AJ124="USD",$AI124,IF($AJ124='[1]Info I'!$G$3,$AI124/$R$12,"Error")))</f>
        <v/>
      </c>
      <c r="X124" s="169" t="str">
        <f t="shared" si="43"/>
        <v/>
      </c>
      <c r="Y124" s="332" t="str">
        <f t="shared" si="44"/>
        <v/>
      </c>
      <c r="Z124" s="351" t="str">
        <f>IF($AE124="","",IF($H$139="USD",$AE124/(1+$AF124),IF($H$139='[1]Info I'!$G$3,$AE124/$R$11/(1+$AF124),"Error")))</f>
        <v/>
      </c>
      <c r="AA124" s="352" t="str">
        <f>IF($AG124="","",IF($AH124="USD",$AG124,IF($AH124=Data!$AD$3,$AG124/$R$11,"Error")))</f>
        <v/>
      </c>
      <c r="AB124" s="353" t="str">
        <f>IF($AI124="","",IF($AJ124="USD",$AI124,IF($AJ124='[1]Info I'!$G$3,$AI124/$R$11,"Error")))</f>
        <v/>
      </c>
      <c r="AC124" s="354" t="str">
        <f t="shared" si="37"/>
        <v/>
      </c>
      <c r="AD124" s="355" t="str">
        <f t="shared" si="38"/>
        <v/>
      </c>
      <c r="AE124" s="172" t="str">
        <f t="shared" si="39"/>
        <v/>
      </c>
      <c r="AF124" s="173" t="str">
        <f>IFERROR(IF(T124="","",VLOOKUP(T124,Data!V:Z,4,FALSE)),"Error")</f>
        <v/>
      </c>
      <c r="AG124" s="172" t="str">
        <f t="shared" si="40"/>
        <v/>
      </c>
      <c r="AH124" s="174" t="str">
        <f t="shared" si="45"/>
        <v/>
      </c>
      <c r="AI124" s="172" t="str">
        <f t="shared" si="41"/>
        <v/>
      </c>
      <c r="AJ124" s="174" t="str">
        <f t="shared" si="42"/>
        <v/>
      </c>
    </row>
    <row r="125" spans="1:36" ht="18.75">
      <c r="A125" s="119"/>
      <c r="B125" s="451">
        <f>Planner!H188</f>
        <v>0</v>
      </c>
      <c r="C125" s="452"/>
      <c r="D125" s="148" t="str">
        <f>_xlfn.XLOOKUP(Invoice!B125,Data!$P:$P,Data!$N:$N,"")</f>
        <v/>
      </c>
      <c r="E125" s="151">
        <v>1</v>
      </c>
      <c r="F125" s="155" t="str">
        <f>_xlfn.XLOOKUP($B125,Data!$P:$P,Data!$Q:$Q,"")</f>
        <v/>
      </c>
      <c r="G125" s="155" t="str">
        <f t="shared" si="33"/>
        <v/>
      </c>
      <c r="H125" s="148" t="s">
        <v>21</v>
      </c>
      <c r="I125" s="119" t="str">
        <f>_xlfn.XLOOKUP(B125,Data!P:P,Data!O:O,"")</f>
        <v/>
      </c>
      <c r="J125" s="312" t="str">
        <f>_xlfn.XLOOKUP(B125,Data!P:P,Data!R:R,"")</f>
        <v/>
      </c>
      <c r="K125" s="118" t="str">
        <f>_xlfn.XLOOKUP(B125,Data!P:P,Data!S:S,"")</f>
        <v/>
      </c>
      <c r="L125" s="157"/>
      <c r="M125" s="119"/>
      <c r="O125" s="312"/>
      <c r="P125" s="312"/>
      <c r="R125" s="157"/>
      <c r="T125" s="168" t="str">
        <f t="shared" si="31"/>
        <v/>
      </c>
      <c r="U125" s="169" t="str">
        <f>IF($AE125="","",IF($H$139="USD",$AE125/(1+$AF125),IF($H$139='[1]Info I'!$G$3,$AE125/$R$12/(1+$AF125),"Error")))</f>
        <v/>
      </c>
      <c r="V125" s="170" t="str">
        <f>IF($AG125="","",IF($AH125="USD",$AG125,IF($AH125=Data!$AD$3,$AG125/$R$12,"Error")))</f>
        <v/>
      </c>
      <c r="W125" s="171" t="str">
        <f>IF($AI125="","",IF($AJ125="USD",$AI125,IF($AJ125='[1]Info I'!$G$3,$AI125/$R$12,"Error")))</f>
        <v/>
      </c>
      <c r="X125" s="169" t="str">
        <f t="shared" si="43"/>
        <v/>
      </c>
      <c r="Y125" s="332" t="str">
        <f t="shared" si="44"/>
        <v/>
      </c>
      <c r="Z125" s="351" t="str">
        <f>IF($AE125="","",IF($H$139="USD",$AE125/(1+$AF125),IF($H$139='[1]Info I'!$G$3,$AE125/$R$11/(1+$AF125),"Error")))</f>
        <v/>
      </c>
      <c r="AA125" s="352" t="str">
        <f>IF($AG125="","",IF($AH125="USD",$AG125,IF($AH125=Data!$AD$3,$AG125/$R$11,"Error")))</f>
        <v/>
      </c>
      <c r="AB125" s="353" t="str">
        <f>IF($AI125="","",IF($AJ125="USD",$AI125,IF($AJ125='[1]Info I'!$G$3,$AI125/$R$11,"Error")))</f>
        <v/>
      </c>
      <c r="AC125" s="354" t="str">
        <f t="shared" si="37"/>
        <v/>
      </c>
      <c r="AD125" s="355" t="str">
        <f t="shared" si="38"/>
        <v/>
      </c>
      <c r="AE125" s="172" t="str">
        <f t="shared" si="39"/>
        <v/>
      </c>
      <c r="AF125" s="173" t="str">
        <f>IFERROR(IF(T125="","",VLOOKUP(T125,Data!V:Z,4,FALSE)),"Error")</f>
        <v/>
      </c>
      <c r="AG125" s="172" t="str">
        <f t="shared" si="40"/>
        <v/>
      </c>
      <c r="AH125" s="174" t="str">
        <f t="shared" si="45"/>
        <v/>
      </c>
      <c r="AI125" s="172" t="str">
        <f t="shared" si="41"/>
        <v/>
      </c>
      <c r="AJ125" s="174" t="str">
        <f t="shared" si="42"/>
        <v/>
      </c>
    </row>
    <row r="126" spans="1:36" ht="18.75">
      <c r="A126" s="119"/>
      <c r="B126" s="457" t="s">
        <v>594</v>
      </c>
      <c r="C126" s="458"/>
      <c r="D126" s="149"/>
      <c r="E126" s="153"/>
      <c r="F126" s="155"/>
      <c r="G126" s="155"/>
      <c r="H126" s="149"/>
      <c r="I126" s="119"/>
      <c r="J126" s="312"/>
      <c r="L126" s="157"/>
      <c r="M126" s="119"/>
      <c r="O126" s="312"/>
      <c r="P126" s="312"/>
      <c r="R126" s="157"/>
      <c r="T126" s="168" t="str">
        <f t="shared" si="31"/>
        <v/>
      </c>
      <c r="U126" s="169" t="str">
        <f>IF($AE126="","",IF($H$139="USD",$AE126/(1+$AF126),IF($H$139='[1]Info I'!$G$3,$AE126/$R$12/(1+$AF126),"Error")))</f>
        <v/>
      </c>
      <c r="V126" s="170" t="str">
        <f>IF($AG126="","",IF($AH126="USD",$AG126,IF($AH126=Data!$AD$3,$AG126/$R$12,"Error")))</f>
        <v/>
      </c>
      <c r="W126" s="171" t="str">
        <f>IF($AI126="","",IF($AJ126="USD",$AI126,IF($AJ126='[1]Info I'!$G$3,$AI126/$R$12,"Error")))</f>
        <v/>
      </c>
      <c r="X126" s="169" t="str">
        <f t="shared" si="43"/>
        <v/>
      </c>
      <c r="Y126" s="332" t="str">
        <f t="shared" si="44"/>
        <v/>
      </c>
      <c r="Z126" s="351" t="str">
        <f>IF($AE126="","",IF($H$139="USD",$AE126/(1+$AF126),IF($H$139='[1]Info I'!$G$3,$AE126/$R$11/(1+$AF126),"Error")))</f>
        <v/>
      </c>
      <c r="AA126" s="352" t="str">
        <f>IF($AG126="","",IF($AH126="USD",$AG126,IF($AH126=Data!$AD$3,$AG126/$R$11,"Error")))</f>
        <v/>
      </c>
      <c r="AB126" s="353" t="str">
        <f>IF($AI126="","",IF($AJ126="USD",$AI126,IF($AJ126='[1]Info I'!$G$3,$AI126/$R$11,"Error")))</f>
        <v/>
      </c>
      <c r="AC126" s="354" t="str">
        <f t="shared" si="37"/>
        <v/>
      </c>
      <c r="AD126" s="355" t="str">
        <f t="shared" si="38"/>
        <v/>
      </c>
      <c r="AE126" s="172" t="str">
        <f t="shared" si="39"/>
        <v/>
      </c>
      <c r="AF126" s="173" t="str">
        <f>IFERROR(IF(T126="","",VLOOKUP(T126,Data!V:Z,4,FALSE)),"Error")</f>
        <v/>
      </c>
      <c r="AG126" s="172" t="str">
        <f t="shared" si="40"/>
        <v/>
      </c>
      <c r="AH126" s="174" t="str">
        <f t="shared" si="45"/>
        <v/>
      </c>
      <c r="AI126" s="172" t="str">
        <f t="shared" si="41"/>
        <v/>
      </c>
      <c r="AJ126" s="174" t="str">
        <f t="shared" si="42"/>
        <v/>
      </c>
    </row>
    <row r="127" spans="1:36" ht="18.75">
      <c r="A127" s="138" t="s">
        <v>353</v>
      </c>
      <c r="B127" s="139"/>
      <c r="C127" s="140"/>
      <c r="D127" s="147"/>
      <c r="E127" s="147"/>
      <c r="F127" s="147"/>
      <c r="G127" s="147"/>
      <c r="H127" s="147"/>
      <c r="I127" s="158"/>
      <c r="J127" s="311"/>
      <c r="K127" s="314"/>
      <c r="L127" s="160"/>
      <c r="M127" s="158"/>
      <c r="N127" s="159"/>
      <c r="O127" s="311"/>
      <c r="P127" s="311"/>
      <c r="Q127" s="314"/>
      <c r="R127" s="160"/>
      <c r="T127" s="168" t="str">
        <f t="shared" si="31"/>
        <v/>
      </c>
      <c r="U127" s="169" t="str">
        <f>IF($AE127="","",IF($H$139="USD",$AE127/(1+$AF127),IF($H$139='[1]Info I'!$G$3,$AE127/$R$12/(1+$AF127),"Error")))</f>
        <v/>
      </c>
      <c r="V127" s="170" t="str">
        <f>IF($AG127="","",IF($AH127="USD",$AG127,IF($AH127=Data!$AD$3,$AG127/$R$12,"Error")))</f>
        <v/>
      </c>
      <c r="W127" s="171" t="str">
        <f>IF($AI127="","",IF($AJ127="USD",$AI127,IF($AJ127='[1]Info I'!$G$3,$AI127/$R$12,"Error")))</f>
        <v/>
      </c>
      <c r="X127" s="169" t="str">
        <f t="shared" si="43"/>
        <v/>
      </c>
      <c r="Y127" s="332" t="str">
        <f t="shared" si="44"/>
        <v/>
      </c>
      <c r="Z127" s="351" t="str">
        <f>IF($AE127="","",IF($H$139="USD",$AE127/(1+$AF127),IF($H$139='[1]Info I'!$G$3,$AE127/$R$11/(1+$AF127),"Error")))</f>
        <v/>
      </c>
      <c r="AA127" s="352" t="str">
        <f>IF($AG127="","",IF($AH127="USD",$AG127,IF($AH127=Data!$AD$3,$AG127/$R$11,"Error")))</f>
        <v/>
      </c>
      <c r="AB127" s="353" t="str">
        <f>IF($AI127="","",IF($AJ127="USD",$AI127,IF($AJ127='[1]Info I'!$G$3,$AI127/$R$11,"Error")))</f>
        <v/>
      </c>
      <c r="AC127" s="354" t="str">
        <f t="shared" si="37"/>
        <v/>
      </c>
      <c r="AD127" s="355" t="str">
        <f t="shared" si="38"/>
        <v/>
      </c>
      <c r="AE127" s="172" t="str">
        <f t="shared" si="39"/>
        <v/>
      </c>
      <c r="AF127" s="173" t="str">
        <f>IFERROR(IF(T127="","",VLOOKUP(T127,Data!V:Z,4,FALSE)),"Error")</f>
        <v/>
      </c>
      <c r="AG127" s="172" t="str">
        <f t="shared" si="40"/>
        <v/>
      </c>
      <c r="AH127" s="174" t="str">
        <f t="shared" si="45"/>
        <v/>
      </c>
      <c r="AI127" s="172" t="str">
        <f t="shared" si="41"/>
        <v/>
      </c>
      <c r="AJ127" s="174" t="str">
        <f t="shared" si="42"/>
        <v/>
      </c>
    </row>
    <row r="128" spans="1:36" ht="18.75">
      <c r="A128" s="119"/>
      <c r="B128" s="451">
        <f>IF(Planner!C201="Room", "", IF(AND(OR(Planner!C201="Bridal", Planner!C201="Churchill"), OR(Planner!C202="Bridal", Planner!C202="Churchill")), Planner!C201 &amp; " (Bundle)", Planner!C201))</f>
        <v>0</v>
      </c>
      <c r="C128" s="452"/>
      <c r="D128" s="148" t="str">
        <f>_xlfn.XLOOKUP(Invoice!B128,Data!$P:$P,Data!$N:$N,"")</f>
        <v/>
      </c>
      <c r="E128" s="151">
        <v>1</v>
      </c>
      <c r="F128" s="155" t="str">
        <f>_xlfn.XLOOKUP($B128,Data!$P:$P,Data!$Q:$Q,"")</f>
        <v/>
      </c>
      <c r="G128" s="155" t="str">
        <f t="shared" ref="G128:G136" si="46">IFERROR(E128*F128,"")</f>
        <v/>
      </c>
      <c r="H128" s="148" t="s">
        <v>21</v>
      </c>
      <c r="I128" s="119"/>
      <c r="J128" s="312"/>
      <c r="L128" s="157"/>
      <c r="M128" s="119" t="str">
        <f>IF(OR(ISNUMBER(SEARCH("Bridal", B128)), ISNUMBER(SEARCH("Churchil", B128))), _xlfn.XLOOKUP("Canapes Premium", Data!P:P, Data!M:M), "")</f>
        <v/>
      </c>
      <c r="N128">
        <f>IF(B128="","",Planner!G201+1)</f>
        <v>1</v>
      </c>
      <c r="O128" s="312" t="str">
        <f>IF(OR(ISNUMBER(SEARCH("Bridal", B128)), ISNUMBER(SEARCH("Churchil", B128))), _xlfn.XLOOKUP("Canapes Premium", Data!P:P, Data!R:R), "")</f>
        <v/>
      </c>
      <c r="P128" s="312" t="str">
        <f>IFERROR(N128*O128,"")</f>
        <v/>
      </c>
      <c r="Q128" s="118" t="str">
        <f>IF(OR(ISNUMBER(SEARCH("Bridal", B128)), ISNUMBER(SEARCH("Churchil", B128))), _xlfn.XLOOKUP("Canapes Premium", Data!P:P, Data!S:S), "")</f>
        <v/>
      </c>
      <c r="R128" s="157" t="str">
        <f>IF(OR(ISNUMBER(SEARCH("Bridal", B128)), ISNUMBER(SEARCH("Churchil", B128))), "Canapes Premium","")</f>
        <v/>
      </c>
      <c r="T128" s="168" t="str">
        <f t="shared" si="31"/>
        <v/>
      </c>
      <c r="U128" s="169" t="str">
        <f>IF($AE128="","",IF($H$139="USD",$AE128/(1+$AF128),IF($H$139='[1]Info I'!$G$3,$AE128/$R$12/(1+$AF128),"Error")))</f>
        <v/>
      </c>
      <c r="V128" s="170" t="str">
        <f>IF($AG128="","",IF($AH128="USD",$AG128,IF($AH128=Data!$AD$3,$AG128/$R$12,"Error")))</f>
        <v/>
      </c>
      <c r="W128" s="171" t="str">
        <f>IF($AI128="","",IF($AJ128="USD",$AI128,IF($AJ128='[1]Info I'!$G$3,$AI128/$R$12,"Error")))</f>
        <v/>
      </c>
      <c r="X128" s="169" t="str">
        <f t="shared" si="43"/>
        <v/>
      </c>
      <c r="Y128" s="332" t="str">
        <f t="shared" si="44"/>
        <v/>
      </c>
      <c r="Z128" s="351" t="str">
        <f>IF($AE128="","",IF($H$139="USD",$AE128/(1+$AF128),IF($H$139='[1]Info I'!$G$3,$AE128/$R$11/(1+$AF128),"Error")))</f>
        <v/>
      </c>
      <c r="AA128" s="352" t="str">
        <f>IF($AG128="","",IF($AH128="USD",$AG128,IF($AH128=Data!$AD$3,$AG128/$R$11,"Error")))</f>
        <v/>
      </c>
      <c r="AB128" s="353" t="str">
        <f>IF($AI128="","",IF($AJ128="USD",$AI128,IF($AJ128='[1]Info I'!$G$3,$AI128/$R$11,"Error")))</f>
        <v/>
      </c>
      <c r="AC128" s="354" t="str">
        <f t="shared" si="37"/>
        <v/>
      </c>
      <c r="AD128" s="355" t="str">
        <f t="shared" si="38"/>
        <v/>
      </c>
      <c r="AE128" s="172" t="str">
        <f t="shared" si="39"/>
        <v/>
      </c>
      <c r="AF128" s="173" t="str">
        <f>IFERROR(IF(T128="","",VLOOKUP(T128,Data!V:Z,4,FALSE)),"Error")</f>
        <v/>
      </c>
      <c r="AG128" s="172" t="str">
        <f t="shared" si="40"/>
        <v/>
      </c>
      <c r="AH128" s="174" t="str">
        <f t="shared" si="45"/>
        <v/>
      </c>
      <c r="AI128" s="172" t="str">
        <f t="shared" si="41"/>
        <v/>
      </c>
      <c r="AJ128" s="174" t="str">
        <f t="shared" si="42"/>
        <v/>
      </c>
    </row>
    <row r="129" spans="1:36" ht="18.75">
      <c r="A129" s="119"/>
      <c r="B129" s="451">
        <f>IF(Planner!C202="Room", "", IF(AND(OR(Planner!C201="Bridal", Planner!C201="Churchill"), OR(Planner!C202="Bridal", Planner!C202="Churchill")), Planner!C202 &amp; " (Bundle)", Planner!C202))</f>
        <v>0</v>
      </c>
      <c r="C129" s="452"/>
      <c r="D129" s="148" t="str">
        <f>_xlfn.XLOOKUP(Invoice!B129,Data!$P:$P,Data!$N:$N,"")</f>
        <v/>
      </c>
      <c r="E129" s="151">
        <v>1</v>
      </c>
      <c r="F129" s="155" t="str">
        <f>_xlfn.XLOOKUP($B129,Data!$P:$P,Data!$Q:$Q,"")</f>
        <v/>
      </c>
      <c r="G129" s="155" t="str">
        <f t="shared" si="46"/>
        <v/>
      </c>
      <c r="H129" s="148" t="s">
        <v>21</v>
      </c>
      <c r="I129" s="119"/>
      <c r="J129" s="312"/>
      <c r="L129" s="157"/>
      <c r="M129" s="119" t="str">
        <f>IF(OR(ISNUMBER(SEARCH("Bridal", B129)), ISNUMBER(SEARCH("Churchil", B129))), _xlfn.XLOOKUP("Canapes Premium", Data!P:P, Data!M:M), "")</f>
        <v/>
      </c>
      <c r="N129">
        <f>IF(B129="","",Planner!G202+1)</f>
        <v>1</v>
      </c>
      <c r="O129" s="312" t="str">
        <f>IF(OR(ISNUMBER(SEARCH("Bridal", B129)), ISNUMBER(SEARCH("Churchil", B129))), _xlfn.XLOOKUP("Canapes Premium", Data!P:P, Data!R:R), "")</f>
        <v/>
      </c>
      <c r="P129" s="312" t="str">
        <f>IFERROR(N129*O129,"")</f>
        <v/>
      </c>
      <c r="Q129" s="118" t="str">
        <f>IF(OR(ISNUMBER(SEARCH("Bridal", B129)), ISNUMBER(SEARCH("Churchil", B129))), _xlfn.XLOOKUP("Canapes Premium", Data!P:P, Data!S:S), "")</f>
        <v/>
      </c>
      <c r="R129" s="157" t="str">
        <f>IF(OR(ISNUMBER(SEARCH("Bridal", B129)), ISNUMBER(SEARCH("Churchil", B129))), "Canapes Premium","")</f>
        <v/>
      </c>
      <c r="T129" s="168" t="str">
        <f t="shared" si="31"/>
        <v/>
      </c>
      <c r="U129" s="169" t="str">
        <f>IF($AE129="","",IF($H$139="USD",$AE129/(1+$AF129),IF($H$139='[1]Info I'!$G$3,$AE129/$R$12/(1+$AF129),"Error")))</f>
        <v/>
      </c>
      <c r="V129" s="170" t="str">
        <f>IF($AG129="","",IF($AH129="USD",$AG129,IF($AH129=Data!$AD$3,$AG129/$R$12,"Error")))</f>
        <v/>
      </c>
      <c r="W129" s="171" t="str">
        <f>IF($AI129="","",IF($AJ129="USD",$AI129,IF($AJ129='[1]Info I'!$G$3,$AI129/$R$12,"Error")))</f>
        <v/>
      </c>
      <c r="X129" s="169" t="str">
        <f t="shared" si="43"/>
        <v/>
      </c>
      <c r="Y129" s="332" t="str">
        <f t="shared" si="44"/>
        <v/>
      </c>
      <c r="Z129" s="351" t="str">
        <f>IF($AE129="","",IF($H$139="USD",$AE129/(1+$AF129),IF($H$139='[1]Info I'!$G$3,$AE129/$R$11/(1+$AF129),"Error")))</f>
        <v/>
      </c>
      <c r="AA129" s="352" t="str">
        <f>IF($AG129="","",IF($AH129="USD",$AG129,IF($AH129=Data!$AD$3,$AG129/$R$11,"Error")))</f>
        <v/>
      </c>
      <c r="AB129" s="353" t="str">
        <f>IF($AI129="","",IF($AJ129="USD",$AI129,IF($AJ129='[1]Info I'!$G$3,$AI129/$R$11,"Error")))</f>
        <v/>
      </c>
      <c r="AC129" s="354" t="str">
        <f t="shared" si="37"/>
        <v/>
      </c>
      <c r="AD129" s="355" t="str">
        <f t="shared" si="38"/>
        <v/>
      </c>
      <c r="AE129" s="172" t="str">
        <f t="shared" si="39"/>
        <v/>
      </c>
      <c r="AF129" s="173" t="str">
        <f>IFERROR(IF(T129="","",VLOOKUP(T129,Data!V:Z,4,FALSE)),"Error")</f>
        <v/>
      </c>
      <c r="AG129" s="172" t="str">
        <f t="shared" si="40"/>
        <v/>
      </c>
      <c r="AH129" s="174" t="str">
        <f t="shared" si="45"/>
        <v/>
      </c>
      <c r="AI129" s="172" t="str">
        <f t="shared" si="41"/>
        <v/>
      </c>
      <c r="AJ129" s="174" t="str">
        <f t="shared" si="42"/>
        <v/>
      </c>
    </row>
    <row r="130" spans="1:36" ht="18.75">
      <c r="A130" s="119"/>
      <c r="B130" s="451" t="str">
        <f>IF(Planner!E197="","","Welcome Bag - "&amp;Planner!E197)</f>
        <v/>
      </c>
      <c r="C130" s="452"/>
      <c r="D130" s="148" t="str">
        <f>_xlfn.XLOOKUP(Invoice!B130,Data!$P:$P,Data!$N:$N,"")</f>
        <v/>
      </c>
      <c r="E130" s="151">
        <v>1</v>
      </c>
      <c r="F130" s="155" t="str">
        <f>_xlfn.XLOOKUP($B130,Data!$P:$P,Data!$Q:$Q,"")</f>
        <v/>
      </c>
      <c r="G130" s="155" t="str">
        <f t="shared" si="46"/>
        <v/>
      </c>
      <c r="H130" s="148" t="s">
        <v>21</v>
      </c>
      <c r="I130" s="119" t="str">
        <f>_xlfn.XLOOKUP(B130,Data!P:P,Data!O:O,"")</f>
        <v/>
      </c>
      <c r="J130" s="312" t="str">
        <f>_xlfn.XLOOKUP(B130,Data!P:P,Data!R:R,"")</f>
        <v/>
      </c>
      <c r="K130" s="118" t="str">
        <f>_xlfn.XLOOKUP(B130,Data!P:P,Data!S:S,"")</f>
        <v/>
      </c>
      <c r="L130" s="157"/>
      <c r="M130" s="119"/>
      <c r="O130" s="312"/>
      <c r="P130" s="312"/>
      <c r="R130" s="157"/>
      <c r="T130" s="168" t="str">
        <f t="shared" si="31"/>
        <v/>
      </c>
      <c r="U130" s="169" t="str">
        <f>IF($AE130="","",IF($H$139="USD",$AE130/(1+$AF130),IF($H$139='[1]Info I'!$G$3,$AE130/$R$12/(1+$AF130),"Error")))</f>
        <v/>
      </c>
      <c r="V130" s="170" t="str">
        <f>IF($AG130="","",IF($AH130="USD",$AG130,IF($AH130=Data!$AD$3,$AG130/$R$12,"Error")))</f>
        <v/>
      </c>
      <c r="W130" s="171" t="str">
        <f>IF($AI130="","",IF($AJ130="USD",$AI130,IF($AJ130='[1]Info I'!$G$3,$AI130/$R$12,"Error")))</f>
        <v/>
      </c>
      <c r="X130" s="169" t="str">
        <f t="shared" si="43"/>
        <v/>
      </c>
      <c r="Y130" s="332" t="str">
        <f t="shared" si="44"/>
        <v/>
      </c>
      <c r="Z130" s="351" t="str">
        <f>IF($AE130="","",IF($H$139="USD",$AE130/(1+$AF130),IF($H$139='[1]Info I'!$G$3,$AE130/$R$11/(1+$AF130),"Error")))</f>
        <v/>
      </c>
      <c r="AA130" s="352" t="str">
        <f>IF($AG130="","",IF($AH130="USD",$AG130,IF($AH130=Data!$AD$3,$AG130/$R$11,"Error")))</f>
        <v/>
      </c>
      <c r="AB130" s="353" t="str">
        <f>IF($AI130="","",IF($AJ130="USD",$AI130,IF($AJ130='[1]Info I'!$G$3,$AI130/$R$11,"Error")))</f>
        <v/>
      </c>
      <c r="AC130" s="354" t="str">
        <f t="shared" si="37"/>
        <v/>
      </c>
      <c r="AD130" s="355" t="str">
        <f t="shared" si="38"/>
        <v/>
      </c>
      <c r="AE130" s="172" t="str">
        <f t="shared" si="39"/>
        <v/>
      </c>
      <c r="AF130" s="173" t="str">
        <f>IFERROR(IF(T130="","",VLOOKUP(T130,Data!V:Z,4,FALSE)),"Error")</f>
        <v/>
      </c>
      <c r="AG130" s="172" t="str">
        <f t="shared" si="40"/>
        <v/>
      </c>
      <c r="AH130" s="174" t="str">
        <f t="shared" si="45"/>
        <v/>
      </c>
      <c r="AI130" s="172" t="str">
        <f t="shared" si="41"/>
        <v/>
      </c>
      <c r="AJ130" s="174" t="str">
        <f t="shared" si="42"/>
        <v/>
      </c>
    </row>
    <row r="131" spans="1:36" ht="18.75">
      <c r="A131" s="119"/>
      <c r="B131" s="451" t="str">
        <f>IF(Planner!G197="Yes",LEFT(Planner!F197, 18),"")</f>
        <v/>
      </c>
      <c r="C131" s="452"/>
      <c r="D131" s="148" t="str">
        <f>_xlfn.XLOOKUP(Invoice!B131,Data!$P:$P,Data!$N:$N,"")</f>
        <v/>
      </c>
      <c r="E131" s="152">
        <f>Planner!I197</f>
        <v>0</v>
      </c>
      <c r="F131" s="155" t="str">
        <f>_xlfn.XLOOKUP($B131,Data!$P:$P,Data!$Q:$Q,"")</f>
        <v/>
      </c>
      <c r="G131" s="155" t="str">
        <f t="shared" si="46"/>
        <v/>
      </c>
      <c r="H131" s="148" t="s">
        <v>21</v>
      </c>
      <c r="I131" s="119"/>
      <c r="J131" s="312"/>
      <c r="L131" s="157"/>
      <c r="M131" s="119"/>
      <c r="O131" s="312"/>
      <c r="P131" s="312"/>
      <c r="R131" s="157"/>
      <c r="T131" s="168" t="str">
        <f t="shared" si="31"/>
        <v/>
      </c>
      <c r="U131" s="169" t="str">
        <f>IF($AE131="","",IF($H$139="USD",$AE131/(1+$AF131),IF($H$139='[1]Info I'!$G$3,$AE131/$R$12/(1+$AF131),"Error")))</f>
        <v/>
      </c>
      <c r="V131" s="170" t="str">
        <f>IF($AG131="","",IF($AH131="USD",$AG131,IF($AH131=Data!$AD$3,$AG131/$R$12,"Error")))</f>
        <v/>
      </c>
      <c r="W131" s="171" t="str">
        <f>IF($AI131="","",IF($AJ131="USD",$AI131,IF($AJ131='[1]Info I'!$G$3,$AI131/$R$12,"Error")))</f>
        <v/>
      </c>
      <c r="X131" s="169" t="str">
        <f t="shared" si="43"/>
        <v/>
      </c>
      <c r="Y131" s="332" t="str">
        <f t="shared" si="44"/>
        <v/>
      </c>
      <c r="Z131" s="351" t="str">
        <f>IF($AE131="","",IF($H$139="USD",$AE131/(1+$AF131),IF($H$139='[1]Info I'!$G$3,$AE131/$R$11/(1+$AF131),"Error")))</f>
        <v/>
      </c>
      <c r="AA131" s="352" t="str">
        <f>IF($AG131="","",IF($AH131="USD",$AG131,IF($AH131=Data!$AD$3,$AG131/$R$11,"Error")))</f>
        <v/>
      </c>
      <c r="AB131" s="353" t="str">
        <f>IF($AI131="","",IF($AJ131="USD",$AI131,IF($AJ131='[1]Info I'!$G$3,$AI131/$R$11,"Error")))</f>
        <v/>
      </c>
      <c r="AC131" s="354" t="str">
        <f t="shared" si="37"/>
        <v/>
      </c>
      <c r="AD131" s="355" t="str">
        <f t="shared" si="38"/>
        <v/>
      </c>
      <c r="AE131" s="172" t="str">
        <f t="shared" si="39"/>
        <v/>
      </c>
      <c r="AF131" s="173" t="str">
        <f>IFERROR(IF(T131="","",VLOOKUP(T131,Data!V:Z,4,FALSE)),"Error")</f>
        <v/>
      </c>
      <c r="AG131" s="172" t="str">
        <f t="shared" si="40"/>
        <v/>
      </c>
      <c r="AH131" s="174" t="str">
        <f t="shared" si="45"/>
        <v/>
      </c>
      <c r="AI131" s="172" t="str">
        <f t="shared" si="41"/>
        <v/>
      </c>
      <c r="AJ131" s="174" t="str">
        <f t="shared" si="42"/>
        <v/>
      </c>
    </row>
    <row r="132" spans="1:36" ht="18.75">
      <c r="A132" s="119"/>
      <c r="B132" s="451" t="str">
        <f>IF(Planner!C210="Outside Vendor",_xlfn.XLOOKUP("Hair &amp; Makeup",Data!P:P,Data!O:O),"")</f>
        <v/>
      </c>
      <c r="C132" s="452"/>
      <c r="D132" s="148" t="str">
        <f>IF(B132="","",_xlfn.XLOOKUP(B132,Data!$O:$O,Data!$N:$N,""))</f>
        <v/>
      </c>
      <c r="E132" s="151">
        <v>1</v>
      </c>
      <c r="F132" s="155" t="str">
        <f>IF(B132="","",_xlfn.XLOOKUP(B132,Data!$O:$O,Data!$Q:$Q,""))</f>
        <v/>
      </c>
      <c r="G132" s="155" t="str">
        <f t="shared" si="46"/>
        <v/>
      </c>
      <c r="H132" s="148" t="s">
        <v>21</v>
      </c>
      <c r="I132" s="119"/>
      <c r="J132" s="312"/>
      <c r="L132" s="157"/>
      <c r="M132" s="119"/>
      <c r="O132" s="312"/>
      <c r="P132" s="312"/>
      <c r="R132" s="157"/>
      <c r="T132" s="168" t="str">
        <f t="shared" si="31"/>
        <v/>
      </c>
      <c r="U132" s="169" t="str">
        <f>IF($AE132="","",IF($H$139="USD",$AE132/(1+$AF132),IF($H$139='[1]Info I'!$G$3,$AE132/$R$12/(1+$AF132),"Error")))</f>
        <v/>
      </c>
      <c r="V132" s="170" t="str">
        <f>IF($AG132="","",IF($AH132="USD",$AG132,IF($AH132=Data!$AD$3,$AG132/$R$12,"Error")))</f>
        <v/>
      </c>
      <c r="W132" s="171" t="str">
        <f>IF($AI132="","",IF($AJ132="USD",$AI132,IF($AJ132='[1]Info I'!$G$3,$AI132/$R$12,"Error")))</f>
        <v/>
      </c>
      <c r="X132" s="169" t="str">
        <f t="shared" si="43"/>
        <v/>
      </c>
      <c r="Y132" s="332" t="str">
        <f t="shared" si="44"/>
        <v/>
      </c>
      <c r="Z132" s="351" t="str">
        <f>IF($AE132="","",IF($H$139="USD",$AE132/(1+$AF132),IF($H$139='[1]Info I'!$G$3,$AE132/$R$11/(1+$AF132),"Error")))</f>
        <v/>
      </c>
      <c r="AA132" s="352" t="str">
        <f>IF($AG132="","",IF($AH132="USD",$AG132,IF($AH132=Data!$AD$3,$AG132/$R$11,"Error")))</f>
        <v/>
      </c>
      <c r="AB132" s="353" t="str">
        <f>IF($AI132="","",IF($AJ132="USD",$AI132,IF($AJ132='[1]Info I'!$G$3,$AI132/$R$11,"Error")))</f>
        <v/>
      </c>
      <c r="AC132" s="354" t="str">
        <f t="shared" si="37"/>
        <v/>
      </c>
      <c r="AD132" s="355" t="str">
        <f t="shared" si="38"/>
        <v/>
      </c>
      <c r="AE132" s="172" t="str">
        <f t="shared" si="39"/>
        <v/>
      </c>
      <c r="AF132" s="173" t="str">
        <f>IFERROR(IF(T132="","",VLOOKUP(T132,Data!V:Z,4,FALSE)),"Error")</f>
        <v/>
      </c>
      <c r="AG132" s="172" t="str">
        <f t="shared" si="40"/>
        <v/>
      </c>
      <c r="AH132" s="174" t="str">
        <f t="shared" si="45"/>
        <v/>
      </c>
      <c r="AI132" s="172" t="str">
        <f t="shared" si="41"/>
        <v/>
      </c>
      <c r="AJ132" s="174" t="str">
        <f t="shared" si="42"/>
        <v/>
      </c>
    </row>
    <row r="133" spans="1:36" ht="18.75">
      <c r="A133" s="119"/>
      <c r="B133" s="451" t="str">
        <f>IF(Planner!C211="Outside Vendor",_xlfn.XLOOKUP(Planner!B211,Data!P:P,Data!O:O),"")</f>
        <v/>
      </c>
      <c r="C133" s="452"/>
      <c r="D133" s="148" t="str">
        <f>IF(B133="","",_xlfn.XLOOKUP(B133,Data!$O:$O,Data!$N:$N,""))</f>
        <v/>
      </c>
      <c r="E133" s="151">
        <v>1</v>
      </c>
      <c r="F133" s="155" t="str">
        <f>IF(B133="","",_xlfn.XLOOKUP(B133,Data!$O:$O,Data!$Q:$Q,""))</f>
        <v/>
      </c>
      <c r="G133" s="155" t="str">
        <f t="shared" si="46"/>
        <v/>
      </c>
      <c r="H133" s="148" t="s">
        <v>21</v>
      </c>
      <c r="I133" s="119"/>
      <c r="J133" s="312"/>
      <c r="L133" s="157"/>
      <c r="M133" s="119"/>
      <c r="O133" s="312"/>
      <c r="P133" s="312"/>
      <c r="R133" s="157"/>
      <c r="T133" s="168" t="str">
        <f t="shared" si="31"/>
        <v/>
      </c>
      <c r="U133" s="169" t="str">
        <f>IF($AE133="","",IF($H$139="USD",$AE133/(1+$AF133),IF($H$139='[1]Info I'!$G$3,$AE133/$R$12/(1+$AF133),"Error")))</f>
        <v/>
      </c>
      <c r="V133" s="170" t="str">
        <f>IF($AG133="","",IF($AH133="USD",$AG133,IF($AH133=Data!$AD$3,$AG133/$R$12,"Error")))</f>
        <v/>
      </c>
      <c r="W133" s="171" t="str">
        <f>IF($AI133="","",IF($AJ133="USD",$AI133,IF($AJ133='[1]Info I'!$G$3,$AI133/$R$12,"Error")))</f>
        <v/>
      </c>
      <c r="X133" s="169" t="str">
        <f t="shared" si="43"/>
        <v/>
      </c>
      <c r="Y133" s="332" t="str">
        <f t="shared" si="44"/>
        <v/>
      </c>
      <c r="Z133" s="351" t="str">
        <f>IF($AE133="","",IF($H$139="USD",$AE133/(1+$AF133),IF($H$139='[1]Info I'!$G$3,$AE133/$R$11/(1+$AF133),"Error")))</f>
        <v/>
      </c>
      <c r="AA133" s="352" t="str">
        <f>IF($AG133="","",IF($AH133="USD",$AG133,IF($AH133=Data!$AD$3,$AG133/$R$11,"Error")))</f>
        <v/>
      </c>
      <c r="AB133" s="353" t="str">
        <f>IF($AI133="","",IF($AJ133="USD",$AI133,IF($AJ133='[1]Info I'!$G$3,$AI133/$R$11,"Error")))</f>
        <v/>
      </c>
      <c r="AC133" s="354" t="str">
        <f t="shared" si="37"/>
        <v/>
      </c>
      <c r="AD133" s="355" t="str">
        <f t="shared" si="38"/>
        <v/>
      </c>
      <c r="AE133" s="172" t="str">
        <f t="shared" si="39"/>
        <v/>
      </c>
      <c r="AF133" s="173" t="str">
        <f>IFERROR(IF(T133="","",VLOOKUP(T133,Data!V:Z,4,FALSE)),"Error")</f>
        <v/>
      </c>
      <c r="AG133" s="172" t="str">
        <f t="shared" si="40"/>
        <v/>
      </c>
      <c r="AH133" s="174" t="str">
        <f t="shared" si="45"/>
        <v/>
      </c>
      <c r="AI133" s="172" t="str">
        <f t="shared" si="41"/>
        <v/>
      </c>
      <c r="AJ133" s="174" t="str">
        <f t="shared" si="42"/>
        <v/>
      </c>
    </row>
    <row r="134" spans="1:36" ht="18.75" customHeight="1">
      <c r="A134" s="119"/>
      <c r="B134" s="451" t="str">
        <f>IF(Planner!C212="Outside Vendor",_xlfn.XLOOKUP(Planner!B212,Data!P:P,Data!O:O),"")</f>
        <v/>
      </c>
      <c r="C134" s="452"/>
      <c r="D134" s="148" t="str">
        <f>IF(B134="","",_xlfn.XLOOKUP(B134,Data!$O:$O,Data!$N:$N,""))</f>
        <v/>
      </c>
      <c r="E134" s="151">
        <v>1</v>
      </c>
      <c r="F134" s="155" t="str">
        <f>IF(B134="","",_xlfn.XLOOKUP(B134,Data!$O:$O,Data!$Q:$Q,""))</f>
        <v/>
      </c>
      <c r="G134" s="155" t="str">
        <f t="shared" si="46"/>
        <v/>
      </c>
      <c r="H134" s="148" t="s">
        <v>21</v>
      </c>
      <c r="I134" s="119"/>
      <c r="J134" s="312"/>
      <c r="L134" s="157"/>
      <c r="M134" s="119"/>
      <c r="O134" s="312"/>
      <c r="P134" s="312"/>
      <c r="R134" s="157"/>
      <c r="T134" s="168" t="str">
        <f t="shared" si="31"/>
        <v/>
      </c>
      <c r="U134" s="169" t="str">
        <f>IF($AE134="","",IF($H$139="USD",$AE134/(1+$AF134),IF($H$139='[1]Info I'!$G$3,$AE134/$R$12/(1+$AF134),"Error")))</f>
        <v/>
      </c>
      <c r="V134" s="170" t="str">
        <f>IF($AG134="","",IF($AH134="USD",$AG134,IF($AH134=Data!$AD$3,$AG134/$R$12,"Error")))</f>
        <v/>
      </c>
      <c r="W134" s="171" t="str">
        <f>IF($AI134="","",IF($AJ134="USD",$AI134,IF($AJ134='[1]Info I'!$G$3,$AI134/$R$12,"Error")))</f>
        <v/>
      </c>
      <c r="X134" s="169" t="str">
        <f t="shared" si="43"/>
        <v/>
      </c>
      <c r="Y134" s="332" t="str">
        <f t="shared" si="44"/>
        <v/>
      </c>
      <c r="Z134" s="351" t="str">
        <f>IF($AE134="","",IF($H$139="USD",$AE134/(1+$AF134),IF($H$139='[1]Info I'!$G$3,$AE134/$R$11/(1+$AF134),"Error")))</f>
        <v/>
      </c>
      <c r="AA134" s="352" t="str">
        <f>IF($AG134="","",IF($AH134="USD",$AG134,IF($AH134=Data!$AD$3,$AG134/$R$11,"Error")))</f>
        <v/>
      </c>
      <c r="AB134" s="353" t="str">
        <f>IF($AI134="","",IF($AJ134="USD",$AI134,IF($AJ134='[1]Info I'!$G$3,$AI134/$R$11,"Error")))</f>
        <v/>
      </c>
      <c r="AC134" s="354" t="str">
        <f t="shared" si="37"/>
        <v/>
      </c>
      <c r="AD134" s="355" t="str">
        <f t="shared" si="38"/>
        <v/>
      </c>
      <c r="AE134" s="172" t="str">
        <f t="shared" si="39"/>
        <v/>
      </c>
      <c r="AF134" s="173" t="str">
        <f>IFERROR(IF(T134="","",VLOOKUP(T134,Data!V:Z,4,FALSE)),"Error")</f>
        <v/>
      </c>
      <c r="AG134" s="172" t="str">
        <f t="shared" si="40"/>
        <v/>
      </c>
      <c r="AH134" s="174" t="str">
        <f t="shared" si="45"/>
        <v/>
      </c>
      <c r="AI134" s="172" t="str">
        <f t="shared" si="41"/>
        <v/>
      </c>
      <c r="AJ134" s="174" t="str">
        <f t="shared" si="42"/>
        <v/>
      </c>
    </row>
    <row r="135" spans="1:36" ht="18.75" customHeight="1">
      <c r="A135" s="119"/>
      <c r="B135" s="451" t="str">
        <f>IF(Planner!C213="Outside Vendor",_xlfn.XLOOKUP(Planner!B213,Data!P:P,Data!O:O),"")</f>
        <v/>
      </c>
      <c r="C135" s="452"/>
      <c r="D135" s="148" t="str">
        <f>IF(B135="","",_xlfn.XLOOKUP(B135,Data!$O:$O,Data!$N:$N,""))</f>
        <v/>
      </c>
      <c r="E135" s="151">
        <v>1</v>
      </c>
      <c r="F135" s="155" t="str">
        <f>IF(B135="","",_xlfn.XLOOKUP(B135,Data!$O:$O,Data!$Q:$Q,""))</f>
        <v/>
      </c>
      <c r="G135" s="155" t="str">
        <f t="shared" si="46"/>
        <v/>
      </c>
      <c r="H135" s="148" t="s">
        <v>21</v>
      </c>
      <c r="I135" s="119"/>
      <c r="J135" s="312"/>
      <c r="L135" s="157"/>
      <c r="M135" s="119"/>
      <c r="O135" s="312"/>
      <c r="P135" s="312"/>
      <c r="R135" s="157"/>
      <c r="T135" s="168" t="str">
        <f t="shared" si="31"/>
        <v/>
      </c>
      <c r="U135" s="169" t="str">
        <f>IF($AE135="","",IF($H$139="USD",$AE135/(1+$AF135),IF($H$139='[1]Info I'!$G$3,$AE135/$R$12/(1+$AF135),"Error")))</f>
        <v/>
      </c>
      <c r="V135" s="170" t="str">
        <f>IF($AG135="","",IF($AH135="USD",$AG135,IF($AH135=Data!$AD$3,$AG135/$R$12,"Error")))</f>
        <v/>
      </c>
      <c r="W135" s="171" t="str">
        <f>IF($AI135="","",IF($AJ135="USD",$AI135,IF($AJ135='[1]Info I'!$G$3,$AI135/$R$12,"Error")))</f>
        <v/>
      </c>
      <c r="X135" s="169" t="str">
        <f t="shared" si="43"/>
        <v/>
      </c>
      <c r="Y135" s="332" t="str">
        <f t="shared" si="44"/>
        <v/>
      </c>
      <c r="Z135" s="351" t="str">
        <f>IF($AE135="","",IF($H$139="USD",$AE135/(1+$AF135),IF($H$139='[1]Info I'!$G$3,$AE135/$R$11/(1+$AF135),"Error")))</f>
        <v/>
      </c>
      <c r="AA135" s="352" t="str">
        <f>IF($AG135="","",IF($AH135="USD",$AG135,IF($AH135=Data!$AD$3,$AG135/$R$11,"Error")))</f>
        <v/>
      </c>
      <c r="AB135" s="353" t="str">
        <f>IF($AI135="","",IF($AJ135="USD",$AI135,IF($AJ135='[1]Info I'!$G$3,$AI135/$R$11,"Error")))</f>
        <v/>
      </c>
      <c r="AC135" s="354" t="str">
        <f t="shared" si="37"/>
        <v/>
      </c>
      <c r="AD135" s="355" t="str">
        <f t="shared" si="38"/>
        <v/>
      </c>
      <c r="AE135" s="172" t="str">
        <f t="shared" si="39"/>
        <v/>
      </c>
      <c r="AF135" s="173" t="str">
        <f>IFERROR(IF(T135="","",VLOOKUP(T135,Data!V:Z,4,FALSE)),"Error")</f>
        <v/>
      </c>
      <c r="AG135" s="172" t="str">
        <f t="shared" si="40"/>
        <v/>
      </c>
      <c r="AH135" s="174" t="str">
        <f t="shared" si="45"/>
        <v/>
      </c>
      <c r="AI135" s="172" t="str">
        <f t="shared" si="41"/>
        <v/>
      </c>
      <c r="AJ135" s="174" t="str">
        <f t="shared" si="42"/>
        <v/>
      </c>
    </row>
    <row r="136" spans="1:36" ht="18.75" customHeight="1">
      <c r="A136" s="119"/>
      <c r="B136" s="451" t="str">
        <f>IF(Planner!C214="Outside Vendor",_xlfn.XLOOKUP(Planner!B214,Data!P:P,Data!O:O),"")</f>
        <v/>
      </c>
      <c r="C136" s="452"/>
      <c r="D136" s="148" t="str">
        <f>IF(B136="","",_xlfn.XLOOKUP(B136,Data!$O:$O,Data!$N:$N,""))</f>
        <v/>
      </c>
      <c r="E136" s="151">
        <v>1</v>
      </c>
      <c r="F136" s="155" t="str">
        <f>IF(B136="","",_xlfn.XLOOKUP(B136,Data!$O:$O,Data!$Q:$Q,""))</f>
        <v/>
      </c>
      <c r="G136" s="155" t="str">
        <f t="shared" si="46"/>
        <v/>
      </c>
      <c r="H136" s="148" t="s">
        <v>21</v>
      </c>
      <c r="I136" s="119"/>
      <c r="J136" s="312"/>
      <c r="L136" s="157"/>
      <c r="M136" s="119"/>
      <c r="O136" s="312"/>
      <c r="P136" s="312"/>
      <c r="R136" s="157"/>
      <c r="T136" s="168" t="str">
        <f t="shared" si="31"/>
        <v/>
      </c>
      <c r="U136" s="169" t="str">
        <f>IF($AE136="","",IF($H$139="USD",$AE136/(1+$AF136),IF($H$139='[1]Info I'!$G$3,$AE136/$R$12/(1+$AF136),"Error")))</f>
        <v/>
      </c>
      <c r="V136" s="170" t="str">
        <f>IF($AG136="","",IF($AH136="USD",$AG136,IF($AH136=Data!$AD$3,$AG136/$R$12,"Error")))</f>
        <v/>
      </c>
      <c r="W136" s="171" t="str">
        <f>IF($AI136="","",IF($AJ136="USD",$AI136,IF($AJ136='[1]Info I'!$G$3,$AI136/$R$12,"Error")))</f>
        <v/>
      </c>
      <c r="X136" s="169" t="str">
        <f t="shared" si="43"/>
        <v/>
      </c>
      <c r="Y136" s="332" t="str">
        <f t="shared" si="44"/>
        <v/>
      </c>
      <c r="Z136" s="351" t="str">
        <f>IF($AE136="","",IF($H$139="USD",$AE136/(1+$AF136),IF($H$139='[1]Info I'!$G$3,$AE136/$R$11/(1+$AF136),"Error")))</f>
        <v/>
      </c>
      <c r="AA136" s="352" t="str">
        <f>IF($AG136="","",IF($AH136="USD",$AG136,IF($AH136=Data!$AD$3,$AG136/$R$11,"Error")))</f>
        <v/>
      </c>
      <c r="AB136" s="353" t="str">
        <f>IF($AI136="","",IF($AJ136="USD",$AI136,IF($AJ136='[1]Info I'!$G$3,$AI136/$R$11,"Error")))</f>
        <v/>
      </c>
      <c r="AC136" s="354" t="str">
        <f t="shared" si="37"/>
        <v/>
      </c>
      <c r="AD136" s="355" t="str">
        <f t="shared" si="38"/>
        <v/>
      </c>
      <c r="AE136" s="172" t="str">
        <f t="shared" si="39"/>
        <v/>
      </c>
      <c r="AF136" s="173" t="str">
        <f>IFERROR(IF(T136="","",VLOOKUP(T136,Data!V:Z,4,FALSE)),"Error")</f>
        <v/>
      </c>
      <c r="AG136" s="172" t="str">
        <f t="shared" si="40"/>
        <v/>
      </c>
      <c r="AH136" s="174" t="str">
        <f t="shared" si="45"/>
        <v/>
      </c>
      <c r="AI136" s="172" t="str">
        <f t="shared" si="41"/>
        <v/>
      </c>
      <c r="AJ136" s="174" t="str">
        <f t="shared" si="42"/>
        <v/>
      </c>
    </row>
    <row r="137" spans="1:36" ht="18.75">
      <c r="A137" s="119"/>
      <c r="B137" s="457" t="s">
        <v>594</v>
      </c>
      <c r="C137" s="458"/>
      <c r="D137" s="148"/>
      <c r="E137" s="151"/>
      <c r="F137" s="155"/>
      <c r="G137" s="155"/>
      <c r="H137" s="148"/>
      <c r="I137" s="119"/>
      <c r="J137" s="312"/>
      <c r="L137" s="157"/>
      <c r="M137" s="119"/>
      <c r="O137" s="312"/>
      <c r="P137" s="312"/>
      <c r="R137" s="157"/>
      <c r="T137" s="168" t="str">
        <f t="shared" si="31"/>
        <v/>
      </c>
      <c r="U137" s="169" t="str">
        <f>IF($AE137="","",IF($H$139="USD",$AE137/(1+$AF137),IF($H$139='[1]Info I'!$G$3,$AE137/$R$12/(1+$AF137),"Error")))</f>
        <v/>
      </c>
      <c r="V137" s="170" t="str">
        <f>IF($AG137="","",IF($AH137="USD",$AG137,IF($AH137=Data!$AD$3,$AG137/$R$12,"Error")))</f>
        <v/>
      </c>
      <c r="W137" s="171" t="str">
        <f>IF($AI137="","",IF($AJ137="USD",$AI137,IF($AJ137='[1]Info I'!$G$3,$AI137/$R$12,"Error")))</f>
        <v/>
      </c>
      <c r="X137" s="169" t="str">
        <f t="shared" si="43"/>
        <v/>
      </c>
      <c r="Y137" s="332" t="str">
        <f t="shared" si="44"/>
        <v/>
      </c>
      <c r="Z137" s="351" t="str">
        <f>IF($AE137="","",IF($H$139="USD",$AE137/(1+$AF137),IF($H$139='[1]Info I'!$G$3,$AE137/$R$11/(1+$AF137),"Error")))</f>
        <v/>
      </c>
      <c r="AA137" s="352" t="str">
        <f>IF($AG137="","",IF($AH137="USD",$AG137,IF($AH137=Data!$AD$3,$AG137/$R$11,"Error")))</f>
        <v/>
      </c>
      <c r="AB137" s="353" t="str">
        <f>IF($AI137="","",IF($AJ137="USD",$AI137,IF($AJ137='[1]Info I'!$G$3,$AI137/$R$11,"Error")))</f>
        <v/>
      </c>
      <c r="AC137" s="354" t="str">
        <f t="shared" si="37"/>
        <v/>
      </c>
      <c r="AD137" s="355" t="str">
        <f t="shared" si="38"/>
        <v/>
      </c>
      <c r="AE137" s="172" t="str">
        <f t="shared" si="39"/>
        <v/>
      </c>
      <c r="AF137" s="173" t="str">
        <f>IFERROR(IF(T137="","",VLOOKUP(T137,Data!V:Z,4,FALSE)),"Error")</f>
        <v/>
      </c>
      <c r="AG137" s="172" t="str">
        <f t="shared" si="40"/>
        <v/>
      </c>
      <c r="AH137" s="174" t="str">
        <f t="shared" si="45"/>
        <v/>
      </c>
      <c r="AI137" s="172" t="str">
        <f t="shared" si="41"/>
        <v/>
      </c>
      <c r="AJ137" s="174" t="str">
        <f t="shared" si="42"/>
        <v/>
      </c>
    </row>
    <row r="138" spans="1:36" ht="19.5" thickBot="1">
      <c r="A138" s="123"/>
      <c r="B138" s="520" t="s">
        <v>594</v>
      </c>
      <c r="C138" s="521"/>
      <c r="D138" s="150"/>
      <c r="E138" s="154"/>
      <c r="F138" s="150"/>
      <c r="G138" s="156"/>
      <c r="H138" s="150"/>
      <c r="I138" s="123"/>
      <c r="J138" s="313"/>
      <c r="K138" s="316"/>
      <c r="L138" s="162"/>
      <c r="M138" s="123"/>
      <c r="N138" s="161"/>
      <c r="O138" s="313"/>
      <c r="P138" s="313"/>
      <c r="Q138" s="316"/>
      <c r="R138" s="162"/>
      <c r="T138" s="168" t="str">
        <f t="shared" si="31"/>
        <v/>
      </c>
      <c r="U138" s="169" t="str">
        <f>IF($AE138="","",IF($H$139="USD",$AE138/(1+$AF138),IF($H$139='[1]Info I'!$G$3,$AE138/$R$12/(1+$AF138),"Error")))</f>
        <v/>
      </c>
      <c r="V138" s="170" t="str">
        <f>IF($AG138="","",IF($AH138="USD",$AG138,IF($AH138=Data!$AD$3,$AG138/$R$12,"Error")))</f>
        <v/>
      </c>
      <c r="W138" s="171" t="str">
        <f>IF($AI138="","",IF($AJ138="USD",$AI138,IF($AJ138='[1]Info I'!$G$3,$AI138/$R$12,"Error")))</f>
        <v/>
      </c>
      <c r="X138" s="169" t="str">
        <f t="shared" si="43"/>
        <v/>
      </c>
      <c r="Y138" s="332" t="str">
        <f t="shared" si="44"/>
        <v/>
      </c>
      <c r="Z138" s="351" t="str">
        <f>IF($AE138="","",IF($H$139="USD",$AE138/(1+$AF138),IF($H$139='[1]Info I'!$G$3,$AE138/$R$11/(1+$AF138),"Error")))</f>
        <v/>
      </c>
      <c r="AA138" s="352" t="str">
        <f>IF($AG138="","",IF($AH138="USD",$AG138,IF($AH138=Data!$AD$3,$AG138/$R$11,"Error")))</f>
        <v/>
      </c>
      <c r="AB138" s="353" t="str">
        <f>IF($AI138="","",IF($AJ138="USD",$AI138,IF($AJ138='[1]Info I'!$G$3,$AI138/$R$11,"Error")))</f>
        <v/>
      </c>
      <c r="AC138" s="354" t="str">
        <f t="shared" si="37"/>
        <v/>
      </c>
      <c r="AD138" s="355" t="str">
        <f t="shared" si="38"/>
        <v/>
      </c>
      <c r="AE138" s="350" t="str">
        <f t="shared" si="39"/>
        <v/>
      </c>
      <c r="AF138" s="333" t="str">
        <f>IFERROR(IF(T138="","",VLOOKUP(T138,Data!V:Z,4,FALSE)),"Error")</f>
        <v/>
      </c>
      <c r="AG138" s="172" t="str">
        <f t="shared" si="40"/>
        <v/>
      </c>
      <c r="AH138" s="174" t="str">
        <f t="shared" si="45"/>
        <v/>
      </c>
      <c r="AI138" s="172" t="str">
        <f t="shared" si="41"/>
        <v/>
      </c>
      <c r="AJ138" s="174" t="str">
        <f t="shared" si="42"/>
        <v/>
      </c>
    </row>
    <row r="139" spans="1:36" ht="19.5" thickBot="1">
      <c r="A139" s="192" t="s">
        <v>18</v>
      </c>
      <c r="B139" s="193"/>
      <c r="C139" s="193"/>
      <c r="D139" s="193"/>
      <c r="E139" s="194"/>
      <c r="F139" s="193"/>
      <c r="G139" s="195">
        <f>SUM(G19:G138)</f>
        <v>0</v>
      </c>
      <c r="H139" s="196" t="s">
        <v>21</v>
      </c>
      <c r="I139" s="206"/>
      <c r="J139" s="331">
        <f>SUM(J19:J138)</f>
        <v>1550</v>
      </c>
      <c r="K139" s="317"/>
      <c r="L139" s="208"/>
      <c r="M139" s="206"/>
      <c r="N139" s="207"/>
      <c r="O139" s="207"/>
      <c r="P139" s="331">
        <f>SUM(P19:P138)</f>
        <v>65</v>
      </c>
      <c r="Q139" s="317"/>
      <c r="R139" s="208"/>
      <c r="T139" s="175" t="s">
        <v>703</v>
      </c>
      <c r="U139" s="176">
        <f>SUM(U19:U138)</f>
        <v>0</v>
      </c>
      <c r="V139" s="177">
        <f>SUM(V19:V138)</f>
        <v>88.571428571428569</v>
      </c>
      <c r="W139" s="178">
        <f>SUM(W19:W138)</f>
        <v>3.7142857142857144</v>
      </c>
      <c r="X139" s="179">
        <f>SUM(X19:X138)</f>
        <v>92.285714285714278</v>
      </c>
      <c r="Y139" s="348" t="str">
        <f>IFERROR(+(U139-X139)/U139,"")</f>
        <v/>
      </c>
      <c r="Z139" s="356">
        <f>SUM(Z19:Z138)</f>
        <v>0</v>
      </c>
      <c r="AA139" s="357">
        <f>SUM(AA19:AA138)</f>
        <v>79.487179487179489</v>
      </c>
      <c r="AB139" s="358">
        <f>SUM(AB19:AB138)</f>
        <v>3.3333333333333335</v>
      </c>
      <c r="AC139" s="359">
        <f>SUM(AC19:AC138)</f>
        <v>82.820512820512818</v>
      </c>
      <c r="AD139" s="360" t="str">
        <f>IFERROR(+(Z139-AC139)/Z139,"")</f>
        <v/>
      </c>
      <c r="AE139" s="180">
        <f>SUM(AE19:AE138)</f>
        <v>0</v>
      </c>
      <c r="AF139" s="181"/>
      <c r="AG139" s="182">
        <f>SUM(AG19:AG138)</f>
        <v>1550</v>
      </c>
      <c r="AH139" s="181"/>
      <c r="AI139" s="182">
        <f>SUM(AI19:AI138)</f>
        <v>65</v>
      </c>
      <c r="AJ139" s="181"/>
    </row>
    <row r="140" spans="1:36" ht="19.5" thickBot="1">
      <c r="A140" s="158"/>
      <c r="B140" s="197"/>
      <c r="C140" s="197"/>
      <c r="D140" s="197"/>
      <c r="E140" s="197"/>
      <c r="F140" s="198" t="s">
        <v>23</v>
      </c>
      <c r="G140" s="197"/>
      <c r="H140" s="199" t="s">
        <v>21</v>
      </c>
      <c r="I140" s="209" t="s">
        <v>706</v>
      </c>
      <c r="J140" s="210" t="s">
        <v>707</v>
      </c>
      <c r="K140" s="314"/>
      <c r="L140" s="160"/>
      <c r="M140" s="158"/>
      <c r="N140" s="159"/>
      <c r="O140" s="159"/>
      <c r="P140" s="159"/>
      <c r="Q140" s="314"/>
      <c r="R140" s="160"/>
    </row>
    <row r="141" spans="1:36" ht="19.5" thickBot="1">
      <c r="A141" s="158"/>
      <c r="B141" s="197"/>
      <c r="C141" s="197"/>
      <c r="D141" s="197"/>
      <c r="E141" s="197"/>
      <c r="F141" s="200" t="s">
        <v>595</v>
      </c>
      <c r="G141" s="197"/>
      <c r="H141" s="199" t="s">
        <v>21</v>
      </c>
      <c r="I141" s="209" t="s">
        <v>275</v>
      </c>
      <c r="J141" s="210" t="s">
        <v>707</v>
      </c>
      <c r="K141" s="314"/>
      <c r="L141" s="160"/>
      <c r="M141" s="158"/>
      <c r="N141" s="159"/>
      <c r="O141" s="159"/>
      <c r="P141" s="159"/>
      <c r="Q141" s="314"/>
      <c r="R141" s="160"/>
      <c r="U141" s="183" t="s">
        <v>704</v>
      </c>
      <c r="V141" s="184"/>
      <c r="W141" s="184"/>
      <c r="X141" s="184"/>
      <c r="Y141" s="185"/>
      <c r="Z141" s="183" t="s">
        <v>704</v>
      </c>
      <c r="AA141" s="184"/>
      <c r="AB141" s="184"/>
      <c r="AC141" s="184"/>
      <c r="AD141" s="185"/>
      <c r="AE141" s="186" t="s">
        <v>705</v>
      </c>
      <c r="AF141" s="184"/>
      <c r="AG141" s="184"/>
      <c r="AH141" s="184"/>
      <c r="AI141" s="184"/>
      <c r="AJ141" s="187"/>
    </row>
    <row r="142" spans="1:36" ht="21.75" thickBot="1">
      <c r="A142" s="201"/>
      <c r="B142" s="202"/>
      <c r="C142" s="202"/>
      <c r="D142" s="202"/>
      <c r="E142" s="202"/>
      <c r="F142" s="203" t="s">
        <v>24</v>
      </c>
      <c r="G142" s="204">
        <f>G139-G140-G141</f>
        <v>0</v>
      </c>
      <c r="H142" s="205" t="s">
        <v>21</v>
      </c>
      <c r="I142" s="201"/>
      <c r="J142" s="211"/>
      <c r="K142" s="318"/>
      <c r="L142" s="212"/>
      <c r="M142" s="201"/>
      <c r="N142" s="211"/>
      <c r="O142" s="211"/>
      <c r="P142" s="211"/>
      <c r="Q142" s="318"/>
      <c r="R142" s="212"/>
      <c r="U142" s="188">
        <f>+U139-SUM(D192:D194)</f>
        <v>0</v>
      </c>
      <c r="V142" s="188"/>
      <c r="W142" s="188"/>
      <c r="X142" s="188">
        <f>+X139+E192</f>
        <v>92.285714285714278</v>
      </c>
      <c r="Y142" s="189"/>
      <c r="Z142" s="188">
        <f>+Z139-SUM(D192:D194)</f>
        <v>0</v>
      </c>
      <c r="AA142" s="188"/>
      <c r="AB142" s="188"/>
      <c r="AC142" s="188">
        <f>+AC139+E192</f>
        <v>82.820512820512818</v>
      </c>
      <c r="AD142" s="189"/>
      <c r="AE142" s="190">
        <f>+AE139-G139</f>
        <v>0</v>
      </c>
      <c r="AF142" s="188"/>
      <c r="AG142" s="188">
        <f>+AG139-J139</f>
        <v>0</v>
      </c>
      <c r="AH142" s="188"/>
      <c r="AI142" s="188">
        <f>+AI139-P139</f>
        <v>0</v>
      </c>
      <c r="AJ142" s="191"/>
    </row>
    <row r="143" spans="1:36" ht="19.5" thickBot="1">
      <c r="B143" s="5"/>
      <c r="C143" s="5"/>
      <c r="D143" s="5"/>
      <c r="E143" s="6"/>
      <c r="F143" s="5"/>
      <c r="G143" s="7"/>
      <c r="H143" s="5"/>
    </row>
    <row r="144" spans="1:36" ht="18.75">
      <c r="A144" s="8" t="s">
        <v>25</v>
      </c>
      <c r="B144" s="8"/>
      <c r="C144" s="8"/>
      <c r="D144" s="9"/>
      <c r="E144" s="8"/>
      <c r="F144" s="9"/>
      <c r="G144" s="5"/>
      <c r="N144" s="446" t="s">
        <v>860</v>
      </c>
      <c r="O144" s="447"/>
      <c r="P144" s="447"/>
      <c r="Q144" s="448"/>
    </row>
    <row r="145" spans="1:17" ht="30" customHeight="1">
      <c r="A145" s="453" t="s">
        <v>26</v>
      </c>
      <c r="B145" s="453"/>
      <c r="C145" s="453"/>
      <c r="D145" s="453"/>
      <c r="E145" s="453"/>
      <c r="F145" s="453"/>
      <c r="G145" s="453"/>
      <c r="N145" s="431" t="s">
        <v>102</v>
      </c>
      <c r="O145" s="432"/>
      <c r="P145" s="427">
        <f>SUMIF(I19:I138,N145,J19:J138)</f>
        <v>0</v>
      </c>
      <c r="Q145" s="428"/>
    </row>
    <row r="146" spans="1:17" ht="30.75" customHeight="1">
      <c r="A146" s="453" t="s">
        <v>27</v>
      </c>
      <c r="B146" s="453"/>
      <c r="C146" s="453"/>
      <c r="D146" s="453"/>
      <c r="E146" s="453"/>
      <c r="F146" s="453"/>
      <c r="G146" s="453"/>
      <c r="N146" s="431" t="s">
        <v>541</v>
      </c>
      <c r="O146" s="432"/>
      <c r="P146" s="427">
        <f t="shared" ref="P146:P158" si="47">SUMIF(I20:I139,N146,J20:J139)</f>
        <v>1550</v>
      </c>
      <c r="Q146" s="428"/>
    </row>
    <row r="147" spans="1:17" ht="15.75">
      <c r="A147" s="9" t="s">
        <v>596</v>
      </c>
      <c r="B147" s="9"/>
      <c r="C147" s="8"/>
      <c r="D147" s="9"/>
      <c r="E147" s="9"/>
      <c r="F147" s="9"/>
      <c r="G147" s="10"/>
      <c r="N147" s="431" t="s">
        <v>427</v>
      </c>
      <c r="O147" s="432"/>
      <c r="P147" s="427">
        <f t="shared" si="47"/>
        <v>0</v>
      </c>
      <c r="Q147" s="428"/>
    </row>
    <row r="148" spans="1:17" ht="15.75">
      <c r="A148" s="11" t="s">
        <v>28</v>
      </c>
      <c r="B148" s="11"/>
      <c r="C148" s="9"/>
      <c r="D148" s="9"/>
      <c r="E148" s="9"/>
      <c r="F148" s="9"/>
      <c r="G148" s="10"/>
      <c r="N148" s="431" t="s">
        <v>121</v>
      </c>
      <c r="O148" s="432"/>
      <c r="P148" s="427">
        <f t="shared" si="47"/>
        <v>0</v>
      </c>
      <c r="Q148" s="428"/>
    </row>
    <row r="149" spans="1:17" ht="15.75">
      <c r="A149" s="11" t="s">
        <v>29</v>
      </c>
      <c r="B149" s="11"/>
      <c r="C149" s="9"/>
      <c r="D149" s="9"/>
      <c r="E149" s="9"/>
      <c r="F149" s="9"/>
      <c r="G149" s="10"/>
      <c r="N149" s="431" t="s">
        <v>122</v>
      </c>
      <c r="O149" s="432"/>
      <c r="P149" s="427">
        <f t="shared" si="47"/>
        <v>0</v>
      </c>
      <c r="Q149" s="428"/>
    </row>
    <row r="150" spans="1:17" ht="15.75">
      <c r="A150" s="9" t="s">
        <v>597</v>
      </c>
      <c r="B150" s="9"/>
      <c r="C150" s="8"/>
      <c r="D150" s="9"/>
      <c r="E150" s="9"/>
      <c r="F150" s="9"/>
      <c r="G150" s="10"/>
      <c r="N150" s="431" t="s">
        <v>212</v>
      </c>
      <c r="O150" s="432"/>
      <c r="P150" s="427">
        <f t="shared" si="47"/>
        <v>0</v>
      </c>
      <c r="Q150" s="428"/>
    </row>
    <row r="151" spans="1:17" ht="15.75">
      <c r="A151" s="11" t="s">
        <v>30</v>
      </c>
      <c r="B151" s="11"/>
      <c r="C151" s="9"/>
      <c r="D151" s="9"/>
      <c r="E151" s="9"/>
      <c r="F151" s="8"/>
      <c r="G151" s="10"/>
      <c r="N151" s="431" t="s">
        <v>215</v>
      </c>
      <c r="O151" s="432"/>
      <c r="P151" s="427">
        <f t="shared" si="47"/>
        <v>0</v>
      </c>
      <c r="Q151" s="428"/>
    </row>
    <row r="152" spans="1:17">
      <c r="A152" s="11" t="s">
        <v>31</v>
      </c>
      <c r="B152" s="11"/>
      <c r="C152" s="9"/>
      <c r="D152" s="9"/>
      <c r="E152" s="9"/>
      <c r="F152" s="8"/>
      <c r="G152" s="1"/>
      <c r="N152" s="431" t="s">
        <v>214</v>
      </c>
      <c r="O152" s="432"/>
      <c r="P152" s="427">
        <f t="shared" si="47"/>
        <v>0</v>
      </c>
      <c r="Q152" s="428"/>
    </row>
    <row r="153" spans="1:17" ht="15.75">
      <c r="A153" s="11"/>
      <c r="B153" s="11"/>
      <c r="C153" s="8"/>
      <c r="D153" s="9"/>
      <c r="E153" s="9"/>
      <c r="F153" s="8"/>
      <c r="G153" s="10"/>
      <c r="N153" s="431" t="s">
        <v>123</v>
      </c>
      <c r="O153" s="432"/>
      <c r="P153" s="427">
        <f t="shared" si="47"/>
        <v>0</v>
      </c>
      <c r="Q153" s="428"/>
    </row>
    <row r="154" spans="1:17" ht="15.75">
      <c r="A154" s="12" t="s">
        <v>32</v>
      </c>
      <c r="B154" s="12"/>
      <c r="C154" s="8"/>
      <c r="D154" s="9"/>
      <c r="E154" s="9"/>
      <c r="F154" s="8"/>
      <c r="G154" s="10"/>
      <c r="N154" s="431" t="s">
        <v>129</v>
      </c>
      <c r="O154" s="432"/>
      <c r="P154" s="427">
        <f t="shared" si="47"/>
        <v>0</v>
      </c>
      <c r="Q154" s="428"/>
    </row>
    <row r="155" spans="1:17" ht="15.75">
      <c r="A155" s="11" t="s">
        <v>33</v>
      </c>
      <c r="B155" s="11"/>
      <c r="C155" s="8"/>
      <c r="D155" s="9"/>
      <c r="E155" s="9"/>
      <c r="F155" s="8"/>
      <c r="G155" s="13"/>
      <c r="N155" s="431" t="s">
        <v>142</v>
      </c>
      <c r="O155" s="432"/>
      <c r="P155" s="427">
        <f t="shared" si="47"/>
        <v>0</v>
      </c>
      <c r="Q155" s="428"/>
    </row>
    <row r="156" spans="1:17" ht="15.75">
      <c r="A156" s="14"/>
      <c r="B156" s="14"/>
      <c r="C156" s="14"/>
      <c r="D156" s="14"/>
      <c r="E156" s="14"/>
      <c r="F156" s="14"/>
      <c r="G156" s="10"/>
      <c r="N156" s="431" t="s">
        <v>428</v>
      </c>
      <c r="O156" s="432"/>
      <c r="P156" s="427">
        <f t="shared" si="47"/>
        <v>0</v>
      </c>
      <c r="Q156" s="428"/>
    </row>
    <row r="157" spans="1:17" ht="15.75">
      <c r="D157" s="13"/>
      <c r="E157" s="13"/>
      <c r="F157" s="13"/>
      <c r="G157" s="13"/>
      <c r="N157" s="431" t="s">
        <v>132</v>
      </c>
      <c r="O157" s="432"/>
      <c r="P157" s="427">
        <f t="shared" si="47"/>
        <v>0</v>
      </c>
      <c r="Q157" s="428"/>
    </row>
    <row r="158" spans="1:17" ht="16.5" thickBot="1">
      <c r="D158" s="13"/>
      <c r="E158" s="13"/>
      <c r="F158" s="13"/>
      <c r="G158" s="13"/>
      <c r="N158" s="433" t="s">
        <v>584</v>
      </c>
      <c r="O158" s="434"/>
      <c r="P158" s="429">
        <f t="shared" si="47"/>
        <v>0</v>
      </c>
      <c r="Q158" s="430"/>
    </row>
    <row r="159" spans="1:17">
      <c r="A159" s="133"/>
      <c r="B159" s="133"/>
      <c r="C159" s="133"/>
      <c r="D159" s="1"/>
      <c r="E159" s="1"/>
      <c r="F159" s="4"/>
      <c r="G159" s="1"/>
      <c r="H159" s="1"/>
    </row>
    <row r="160" spans="1:17">
      <c r="A160" s="454" t="str">
        <f>$B$10</f>
        <v xml:space="preserve"> &amp; </v>
      </c>
      <c r="B160" s="454"/>
      <c r="C160" s="454"/>
      <c r="D160" s="1"/>
      <c r="E160" s="1"/>
      <c r="F160" s="4"/>
      <c r="G160" s="1"/>
      <c r="H160" s="1"/>
    </row>
    <row r="161" spans="1:35" ht="15.75">
      <c r="B161" s="15"/>
      <c r="C161" s="15"/>
      <c r="D161" s="1"/>
      <c r="E161" s="1"/>
      <c r="F161" s="4"/>
      <c r="G161" s="1"/>
      <c r="H161" s="1"/>
    </row>
    <row r="162" spans="1:35" ht="21" customHeight="1">
      <c r="A162" s="134" t="str">
        <f>BEO!B1</f>
        <v>Ivette Maldonado</v>
      </c>
    </row>
    <row r="163" spans="1:35" ht="15.75">
      <c r="A163" s="15" t="s">
        <v>34</v>
      </c>
    </row>
    <row r="169" spans="1:35" s="219" customFormat="1" ht="19.5" thickBot="1">
      <c r="A169" s="218"/>
      <c r="E169" s="220"/>
      <c r="K169" s="220"/>
      <c r="Q169" s="220"/>
      <c r="S169" s="221"/>
      <c r="T169" s="222"/>
      <c r="U169" s="221"/>
      <c r="V169" s="223"/>
      <c r="W169" s="221"/>
      <c r="X169" s="221"/>
      <c r="Y169" s="221"/>
      <c r="Z169" s="221"/>
      <c r="AA169" s="223"/>
      <c r="AB169" s="221"/>
      <c r="AC169" s="221"/>
      <c r="AD169" s="221"/>
      <c r="AE169" s="221"/>
      <c r="AF169" s="221"/>
      <c r="AG169" s="221"/>
      <c r="AH169" s="221"/>
      <c r="AI169" s="221"/>
    </row>
    <row r="170" spans="1:35" ht="16.5" thickTop="1">
      <c r="E170" s="118"/>
      <c r="S170" s="224"/>
      <c r="T170" s="225"/>
      <c r="U170" s="224"/>
      <c r="V170" s="226"/>
      <c r="W170" s="224"/>
      <c r="X170" s="224"/>
      <c r="Y170" s="224"/>
      <c r="Z170" s="224"/>
      <c r="AA170" s="226"/>
      <c r="AB170" s="224"/>
      <c r="AC170" s="224"/>
      <c r="AD170" s="224"/>
      <c r="AE170" s="224"/>
      <c r="AF170" s="224"/>
      <c r="AG170" s="224"/>
      <c r="AH170" s="224"/>
      <c r="AI170" s="224"/>
    </row>
    <row r="171" spans="1:35" ht="21" customHeight="1">
      <c r="A171" s="449" t="str">
        <f>$B$11</f>
        <v>Majestic Elegance Costa Mujeres</v>
      </c>
      <c r="B171" s="449"/>
      <c r="C171" s="449"/>
      <c r="D171" s="449"/>
      <c r="E171" s="449"/>
      <c r="F171" s="449"/>
      <c r="G171" s="449"/>
      <c r="S171" s="224"/>
      <c r="T171" s="225"/>
      <c r="U171" s="224"/>
      <c r="V171" s="226"/>
      <c r="W171" s="224"/>
      <c r="X171" s="224"/>
      <c r="Y171" s="224"/>
      <c r="Z171" s="224"/>
      <c r="AA171" s="226"/>
      <c r="AB171" s="224"/>
      <c r="AC171" s="224"/>
      <c r="AD171" s="224"/>
      <c r="AE171" s="224"/>
      <c r="AF171" s="224"/>
      <c r="AG171" s="224"/>
      <c r="AH171" s="224"/>
      <c r="AI171" s="224"/>
    </row>
    <row r="172" spans="1:35" s="71" customFormat="1" ht="18.75" customHeight="1">
      <c r="A172" s="449" t="str">
        <f>$B$10</f>
        <v xml:space="preserve"> &amp; </v>
      </c>
      <c r="B172" s="449"/>
      <c r="C172" s="449"/>
      <c r="D172" s="449"/>
      <c r="E172" s="449"/>
      <c r="F172" s="449"/>
      <c r="G172" s="449"/>
      <c r="I172" s="227" t="s">
        <v>708</v>
      </c>
      <c r="J172" s="228"/>
      <c r="K172" s="229"/>
      <c r="L172" s="229"/>
      <c r="M172" s="228"/>
      <c r="N172" s="228"/>
      <c r="O172" s="228"/>
      <c r="P172" s="228"/>
      <c r="Q172" s="229"/>
      <c r="R172" s="228"/>
      <c r="S172" s="230"/>
      <c r="T172" s="230"/>
      <c r="U172" s="231"/>
      <c r="V172" s="230"/>
      <c r="W172" s="230"/>
      <c r="X172" s="230"/>
      <c r="Y172" s="230"/>
      <c r="Z172" s="231"/>
      <c r="AA172" s="230"/>
      <c r="AB172" s="230"/>
      <c r="AC172" s="230"/>
      <c r="AD172" s="230"/>
      <c r="AE172" s="230"/>
      <c r="AF172" s="230"/>
      <c r="AG172" s="230"/>
      <c r="AH172" s="230"/>
      <c r="AI172" s="230"/>
    </row>
    <row r="173" spans="1:35" s="71" customFormat="1" ht="24.75" customHeight="1" thickBot="1">
      <c r="A173" s="232" t="str">
        <f>+"Reserva "&amp;B114</f>
        <v>Reserva 0</v>
      </c>
      <c r="B173" s="232"/>
      <c r="D173" s="232"/>
      <c r="E173" s="232"/>
      <c r="F173" s="450">
        <f>+F113</f>
        <v>0</v>
      </c>
      <c r="G173" s="450"/>
      <c r="I173" s="328" t="s">
        <v>709</v>
      </c>
      <c r="J173" s="228"/>
      <c r="K173" s="229"/>
      <c r="L173" s="229"/>
      <c r="M173" s="228"/>
      <c r="N173" s="228"/>
      <c r="O173" s="228"/>
      <c r="P173" s="228"/>
      <c r="Q173" s="229"/>
      <c r="R173" s="228"/>
      <c r="S173" s="230"/>
      <c r="T173" s="230"/>
      <c r="U173" s="231"/>
      <c r="V173" s="230"/>
      <c r="W173" s="230"/>
      <c r="X173" s="230"/>
      <c r="Y173" s="230"/>
      <c r="Z173" s="231"/>
      <c r="AA173" s="230"/>
      <c r="AB173" s="230"/>
      <c r="AC173" s="230"/>
      <c r="AD173" s="230"/>
      <c r="AE173" s="230"/>
      <c r="AF173" s="230"/>
      <c r="AG173" s="230"/>
      <c r="AH173" s="230"/>
      <c r="AI173" s="230"/>
    </row>
    <row r="174" spans="1:35" s="233" customFormat="1" ht="46.5" customHeight="1" thickBot="1">
      <c r="A174" s="213" t="s">
        <v>710</v>
      </c>
      <c r="B174" s="214"/>
      <c r="C174" s="215"/>
      <c r="D174" s="215" t="s">
        <v>701</v>
      </c>
      <c r="E174" s="215" t="s">
        <v>685</v>
      </c>
      <c r="F174" s="461" t="s">
        <v>711</v>
      </c>
      <c r="G174" s="462"/>
      <c r="I174" s="234" t="s">
        <v>712</v>
      </c>
      <c r="J174" s="235"/>
      <c r="K174" s="235"/>
      <c r="L174" s="235"/>
      <c r="M174" s="235"/>
      <c r="N174" s="235"/>
      <c r="O174" s="235"/>
      <c r="P174" s="235"/>
      <c r="Q174" s="236"/>
      <c r="R174" s="237"/>
      <c r="S174" s="237"/>
      <c r="T174" s="238"/>
      <c r="U174" s="237"/>
      <c r="V174" s="239"/>
      <c r="W174" s="237"/>
      <c r="X174" s="237"/>
      <c r="Y174" s="237"/>
      <c r="Z174" s="237"/>
      <c r="AA174" s="239"/>
      <c r="AB174" s="237"/>
      <c r="AC174" s="237"/>
      <c r="AD174" s="237"/>
      <c r="AE174" s="237"/>
      <c r="AF174" s="237"/>
      <c r="AG174" s="237"/>
      <c r="AH174" s="237"/>
      <c r="AI174" s="237"/>
    </row>
    <row r="175" spans="1:35" ht="18.75">
      <c r="A175" s="240" t="s">
        <v>20</v>
      </c>
      <c r="B175" s="241" t="s">
        <v>713</v>
      </c>
      <c r="C175" s="242"/>
      <c r="D175" s="242" t="str">
        <f t="shared" ref="D175:D191" si="48">IF(SUMIF(T:T,A175,U:U)=0,"",SUMIF(T:T,A175,U:U))</f>
        <v/>
      </c>
      <c r="E175" s="242" t="str">
        <f t="shared" ref="E175:E191" si="49">IF(SUMIF(T:T,A175,X:X)=0,"",SUMIF(T:T,A175,X:X)*-1)</f>
        <v/>
      </c>
      <c r="F175" s="242" t="str">
        <f>IF(SUM(D175)+(SUM(E175))=0,"",SUM(D175)+(SUM(E175)))</f>
        <v/>
      </c>
      <c r="G175" s="338" t="str">
        <f>IFERROR(+F175/D175,"")</f>
        <v/>
      </c>
      <c r="I175" s="245" t="s">
        <v>450</v>
      </c>
      <c r="J175" s="228"/>
      <c r="K175" s="229"/>
      <c r="L175" s="229"/>
      <c r="M175" s="228"/>
      <c r="N175" s="228"/>
      <c r="O175" s="228"/>
      <c r="P175" s="228"/>
      <c r="Q175" s="321"/>
      <c r="R175" s="228"/>
      <c r="S175" s="246"/>
      <c r="T175" s="225"/>
      <c r="U175" s="224"/>
      <c r="V175" s="226"/>
      <c r="W175" s="224"/>
      <c r="X175" s="224"/>
      <c r="Y175" s="224"/>
      <c r="Z175" s="224"/>
      <c r="AA175" s="226"/>
      <c r="AB175" s="224"/>
      <c r="AC175" s="224"/>
      <c r="AD175" s="224"/>
      <c r="AE175" s="224"/>
      <c r="AF175" s="224"/>
      <c r="AG175" s="224"/>
      <c r="AH175" s="224"/>
      <c r="AI175" s="224"/>
    </row>
    <row r="176" spans="1:35" ht="18.75">
      <c r="A176" s="247" t="s">
        <v>430</v>
      </c>
      <c r="B176" s="228" t="s">
        <v>714</v>
      </c>
      <c r="C176" s="243"/>
      <c r="D176" s="243" t="str">
        <f t="shared" si="48"/>
        <v/>
      </c>
      <c r="E176" s="243" t="str">
        <f t="shared" si="49"/>
        <v/>
      </c>
      <c r="F176" s="243" t="str">
        <f t="shared" ref="F176:F191" si="50">IF(SUM(D176)+(SUM(E176))=0,"",SUM(D176)+(SUM(E176)))</f>
        <v/>
      </c>
      <c r="G176" s="244" t="str">
        <f t="shared" ref="G176:G191" si="51">IFERROR(+F176/D176,"")</f>
        <v/>
      </c>
      <c r="I176" s="245" t="s">
        <v>715</v>
      </c>
      <c r="J176" s="228"/>
      <c r="K176" s="229"/>
      <c r="L176" s="229"/>
      <c r="M176" s="228"/>
      <c r="N176" s="228"/>
      <c r="O176" s="228"/>
      <c r="P176" s="228"/>
      <c r="Q176" s="322"/>
      <c r="R176" s="228"/>
      <c r="S176" s="246"/>
      <c r="T176" s="225"/>
      <c r="U176" s="224"/>
      <c r="V176" s="226"/>
      <c r="W176" s="224"/>
      <c r="X176" s="224"/>
      <c r="Y176" s="224"/>
      <c r="Z176" s="224"/>
      <c r="AA176" s="226"/>
      <c r="AB176" s="224"/>
      <c r="AC176" s="224"/>
      <c r="AD176" s="224"/>
      <c r="AE176" s="224"/>
      <c r="AF176" s="224"/>
      <c r="AG176" s="224"/>
      <c r="AH176" s="224"/>
      <c r="AI176" s="224"/>
    </row>
    <row r="177" spans="1:35" ht="18.75">
      <c r="A177" s="247" t="s">
        <v>438</v>
      </c>
      <c r="B177" s="228" t="s">
        <v>716</v>
      </c>
      <c r="C177" s="243"/>
      <c r="D177" s="243" t="str">
        <f t="shared" si="48"/>
        <v/>
      </c>
      <c r="E177" s="243" t="str">
        <f t="shared" si="49"/>
        <v/>
      </c>
      <c r="F177" s="243" t="str">
        <f t="shared" si="50"/>
        <v/>
      </c>
      <c r="G177" s="244" t="str">
        <f t="shared" si="51"/>
        <v/>
      </c>
      <c r="I177" s="247" t="s">
        <v>717</v>
      </c>
      <c r="J177" s="228"/>
      <c r="K177" s="229"/>
      <c r="L177" s="229"/>
      <c r="M177" s="228"/>
      <c r="N177" s="228"/>
      <c r="O177" s="228"/>
      <c r="P177" s="228"/>
      <c r="Q177" s="322"/>
      <c r="R177" s="228"/>
      <c r="S177" s="249"/>
      <c r="T177" s="225"/>
      <c r="U177" s="224"/>
      <c r="V177" s="226"/>
      <c r="W177" s="224"/>
      <c r="X177" s="224"/>
      <c r="Y177" s="224"/>
      <c r="Z177" s="224"/>
      <c r="AA177" s="226"/>
      <c r="AB177" s="224"/>
      <c r="AC177" s="224"/>
      <c r="AD177" s="224"/>
      <c r="AE177" s="224"/>
      <c r="AF177" s="224"/>
      <c r="AG177" s="224"/>
      <c r="AH177" s="224"/>
      <c r="AI177" s="224"/>
    </row>
    <row r="178" spans="1:35" ht="18.75">
      <c r="A178" s="247" t="s">
        <v>436</v>
      </c>
      <c r="B178" s="228" t="s">
        <v>718</v>
      </c>
      <c r="C178" s="243"/>
      <c r="D178" s="243" t="str">
        <f t="shared" si="48"/>
        <v/>
      </c>
      <c r="E178" s="243" t="str">
        <f t="shared" si="49"/>
        <v/>
      </c>
      <c r="F178" s="243" t="str">
        <f t="shared" si="50"/>
        <v/>
      </c>
      <c r="G178" s="244" t="str">
        <f t="shared" si="51"/>
        <v/>
      </c>
      <c r="I178" s="247"/>
      <c r="J178" s="228"/>
      <c r="K178" s="229"/>
      <c r="L178" s="229"/>
      <c r="M178" s="228"/>
      <c r="N178" s="228"/>
      <c r="O178" s="228"/>
      <c r="P178" s="228"/>
      <c r="Q178" s="322"/>
      <c r="R178" s="228"/>
      <c r="S178" s="224"/>
      <c r="T178" s="225"/>
      <c r="U178" s="224"/>
      <c r="V178" s="226"/>
      <c r="W178" s="224"/>
      <c r="X178" s="224"/>
      <c r="Y178" s="224"/>
      <c r="Z178" s="224"/>
      <c r="AA178" s="226"/>
      <c r="AB178" s="224"/>
      <c r="AC178" s="224"/>
      <c r="AD178" s="224"/>
      <c r="AE178" s="224"/>
      <c r="AF178" s="224"/>
      <c r="AG178" s="224"/>
      <c r="AH178" s="224"/>
      <c r="AI178" s="224"/>
    </row>
    <row r="179" spans="1:35" ht="18.75">
      <c r="A179" s="247" t="s">
        <v>435</v>
      </c>
      <c r="B179" s="228" t="s">
        <v>719</v>
      </c>
      <c r="C179" s="243"/>
      <c r="D179" s="243" t="str">
        <f t="shared" si="48"/>
        <v/>
      </c>
      <c r="E179" s="243" t="str">
        <f t="shared" si="49"/>
        <v/>
      </c>
      <c r="F179" s="243" t="str">
        <f t="shared" si="50"/>
        <v/>
      </c>
      <c r="G179" s="244" t="str">
        <f t="shared" si="51"/>
        <v/>
      </c>
      <c r="I179" s="247"/>
      <c r="J179" s="228"/>
      <c r="K179" s="229"/>
      <c r="L179" s="229"/>
      <c r="M179" s="228"/>
      <c r="N179" s="228"/>
      <c r="O179" s="228"/>
      <c r="P179" s="228"/>
      <c r="Q179" s="322"/>
      <c r="R179" s="228"/>
      <c r="S179" s="224"/>
      <c r="T179" s="225"/>
      <c r="U179" s="224"/>
      <c r="V179" s="226"/>
      <c r="W179" s="224"/>
      <c r="X179" s="224"/>
      <c r="Y179" s="224"/>
      <c r="Z179" s="224"/>
      <c r="AA179" s="226"/>
      <c r="AB179" s="224"/>
      <c r="AC179" s="224"/>
      <c r="AD179" s="224"/>
      <c r="AE179" s="224"/>
      <c r="AF179" s="224"/>
      <c r="AG179" s="224"/>
      <c r="AH179" s="224"/>
      <c r="AI179" s="224"/>
    </row>
    <row r="180" spans="1:35" ht="18.75">
      <c r="A180" s="247" t="s">
        <v>434</v>
      </c>
      <c r="B180" s="228" t="s">
        <v>720</v>
      </c>
      <c r="C180" s="243"/>
      <c r="D180" s="243" t="str">
        <f t="shared" si="48"/>
        <v/>
      </c>
      <c r="E180" s="243" t="str">
        <f t="shared" si="49"/>
        <v/>
      </c>
      <c r="F180" s="243" t="str">
        <f t="shared" si="50"/>
        <v/>
      </c>
      <c r="G180" s="244" t="str">
        <f t="shared" si="51"/>
        <v/>
      </c>
      <c r="I180" s="247"/>
      <c r="J180" s="228"/>
      <c r="K180" s="229"/>
      <c r="L180" s="229"/>
      <c r="M180" s="228"/>
      <c r="N180" s="228"/>
      <c r="O180" s="228"/>
      <c r="P180" s="228"/>
      <c r="Q180" s="322"/>
      <c r="R180" s="228"/>
      <c r="S180" s="224"/>
      <c r="T180" s="225"/>
      <c r="U180" s="224"/>
      <c r="V180" s="226"/>
      <c r="W180" s="224"/>
      <c r="X180" s="224"/>
      <c r="Y180" s="224"/>
      <c r="Z180" s="224"/>
      <c r="AA180" s="226"/>
      <c r="AB180" s="224"/>
      <c r="AC180" s="224"/>
      <c r="AD180" s="224"/>
      <c r="AE180" s="224"/>
      <c r="AF180" s="224"/>
      <c r="AG180" s="224"/>
      <c r="AH180" s="224"/>
      <c r="AI180" s="224"/>
    </row>
    <row r="181" spans="1:35" ht="18.75">
      <c r="A181" s="247" t="s">
        <v>432</v>
      </c>
      <c r="B181" s="228" t="s">
        <v>721</v>
      </c>
      <c r="C181" s="243"/>
      <c r="D181" s="243" t="str">
        <f t="shared" si="48"/>
        <v/>
      </c>
      <c r="E181" s="243" t="str">
        <f t="shared" si="49"/>
        <v/>
      </c>
      <c r="F181" s="243" t="str">
        <f t="shared" si="50"/>
        <v/>
      </c>
      <c r="G181" s="244" t="str">
        <f t="shared" si="51"/>
        <v/>
      </c>
      <c r="I181" s="247"/>
      <c r="J181" s="228"/>
      <c r="K181" s="229"/>
      <c r="L181" s="229"/>
      <c r="M181" s="228"/>
      <c r="N181" s="228"/>
      <c r="O181" s="228"/>
      <c r="P181" s="228"/>
      <c r="Q181" s="322"/>
      <c r="R181" s="228"/>
      <c r="S181" s="224"/>
      <c r="T181" s="225"/>
      <c r="U181" s="224"/>
      <c r="V181" s="226"/>
      <c r="W181" s="224"/>
      <c r="X181" s="224"/>
      <c r="Y181" s="224"/>
      <c r="Z181" s="224"/>
      <c r="AA181" s="226"/>
      <c r="AB181" s="224"/>
      <c r="AC181" s="224"/>
      <c r="AD181" s="224"/>
      <c r="AE181" s="224"/>
      <c r="AF181" s="224"/>
      <c r="AG181" s="224"/>
      <c r="AH181" s="224"/>
      <c r="AI181" s="224"/>
    </row>
    <row r="182" spans="1:35" ht="18.75">
      <c r="A182" s="247" t="s">
        <v>429</v>
      </c>
      <c r="B182" s="228" t="s">
        <v>722</v>
      </c>
      <c r="C182" s="243"/>
      <c r="D182" s="243" t="str">
        <f t="shared" si="48"/>
        <v/>
      </c>
      <c r="E182" s="243" t="str">
        <f t="shared" si="49"/>
        <v/>
      </c>
      <c r="F182" s="243" t="str">
        <f t="shared" si="50"/>
        <v/>
      </c>
      <c r="G182" s="244" t="str">
        <f t="shared" si="51"/>
        <v/>
      </c>
      <c r="I182" s="247"/>
      <c r="J182" s="228"/>
      <c r="K182" s="229"/>
      <c r="L182" s="229"/>
      <c r="M182" s="228"/>
      <c r="N182" s="228"/>
      <c r="O182" s="228"/>
      <c r="P182" s="228"/>
      <c r="Q182" s="322"/>
      <c r="R182" s="228"/>
      <c r="S182" s="224"/>
      <c r="T182" s="225"/>
      <c r="U182" s="224"/>
      <c r="V182" s="226"/>
      <c r="W182" s="224"/>
      <c r="X182" s="224"/>
      <c r="Y182" s="224"/>
      <c r="Z182" s="224"/>
      <c r="AA182" s="226"/>
      <c r="AB182" s="224"/>
      <c r="AC182" s="224"/>
      <c r="AD182" s="224"/>
      <c r="AE182" s="224"/>
      <c r="AF182" s="224"/>
      <c r="AG182" s="224"/>
      <c r="AH182" s="224"/>
      <c r="AI182" s="224"/>
    </row>
    <row r="183" spans="1:35" ht="19.5" thickBot="1">
      <c r="A183" s="247" t="s">
        <v>437</v>
      </c>
      <c r="B183" s="228" t="s">
        <v>723</v>
      </c>
      <c r="C183" s="243"/>
      <c r="D183" s="243" t="str">
        <f t="shared" si="48"/>
        <v/>
      </c>
      <c r="E183" s="243" t="str">
        <f t="shared" si="49"/>
        <v/>
      </c>
      <c r="F183" s="243" t="str">
        <f t="shared" si="50"/>
        <v/>
      </c>
      <c r="G183" s="244" t="str">
        <f t="shared" si="51"/>
        <v/>
      </c>
      <c r="I183" s="250"/>
      <c r="J183" s="251"/>
      <c r="K183" s="252"/>
      <c r="L183" s="252"/>
      <c r="M183" s="251"/>
      <c r="N183" s="251"/>
      <c r="O183" s="251"/>
      <c r="P183" s="251"/>
      <c r="Q183" s="323"/>
      <c r="R183" s="228"/>
      <c r="S183" s="253"/>
      <c r="T183" s="225"/>
      <c r="U183" s="224"/>
      <c r="V183" s="226"/>
      <c r="W183" s="224"/>
      <c r="X183" s="224"/>
      <c r="Y183" s="224"/>
      <c r="Z183" s="224"/>
      <c r="AA183" s="226"/>
      <c r="AB183" s="224"/>
      <c r="AC183" s="224"/>
      <c r="AD183" s="224"/>
      <c r="AE183" s="224"/>
      <c r="AF183" s="224"/>
      <c r="AG183" s="224"/>
      <c r="AH183" s="224"/>
      <c r="AI183" s="224"/>
    </row>
    <row r="184" spans="1:35" ht="19.5" thickBot="1">
      <c r="A184" s="247" t="s">
        <v>442</v>
      </c>
      <c r="B184" s="228" t="s">
        <v>724</v>
      </c>
      <c r="C184" s="243"/>
      <c r="D184" s="243" t="str">
        <f t="shared" si="48"/>
        <v/>
      </c>
      <c r="E184" s="243" t="str">
        <f t="shared" si="49"/>
        <v/>
      </c>
      <c r="F184" s="243" t="str">
        <f t="shared" si="50"/>
        <v/>
      </c>
      <c r="G184" s="244" t="str">
        <f t="shared" si="51"/>
        <v/>
      </c>
      <c r="L184" s="118"/>
      <c r="R184" s="228"/>
      <c r="S184" s="254"/>
      <c r="T184" s="225"/>
      <c r="U184" s="224"/>
      <c r="V184" s="226"/>
      <c r="W184" s="224"/>
      <c r="X184" s="224"/>
      <c r="Y184" s="224"/>
      <c r="Z184" s="224"/>
      <c r="AA184" s="226"/>
      <c r="AB184" s="224"/>
      <c r="AC184" s="224"/>
      <c r="AD184" s="224"/>
      <c r="AE184" s="224"/>
      <c r="AF184" s="224"/>
      <c r="AG184" s="224"/>
      <c r="AH184" s="224"/>
      <c r="AI184" s="224"/>
    </row>
    <row r="185" spans="1:35" ht="24">
      <c r="A185" s="247" t="s">
        <v>441</v>
      </c>
      <c r="B185" s="228" t="s">
        <v>725</v>
      </c>
      <c r="C185" s="243"/>
      <c r="D185" s="243" t="str">
        <f t="shared" si="48"/>
        <v/>
      </c>
      <c r="E185" s="243" t="str">
        <f t="shared" si="49"/>
        <v/>
      </c>
      <c r="F185" s="243" t="str">
        <f t="shared" si="50"/>
        <v/>
      </c>
      <c r="G185" s="244" t="str">
        <f t="shared" si="51"/>
        <v/>
      </c>
      <c r="I185" s="255" t="s">
        <v>726</v>
      </c>
      <c r="J185" s="256"/>
      <c r="K185" s="319"/>
      <c r="L185" s="256"/>
      <c r="M185" s="256"/>
      <c r="N185" s="256"/>
      <c r="O185" s="256"/>
      <c r="P185" s="256"/>
      <c r="Q185" s="324"/>
      <c r="R185" s="257"/>
      <c r="S185" s="249"/>
      <c r="T185" s="225"/>
      <c r="U185" s="224"/>
      <c r="V185" s="226"/>
      <c r="W185" s="224"/>
      <c r="X185" s="224"/>
      <c r="Y185" s="224"/>
      <c r="Z185" s="224"/>
      <c r="AA185" s="226"/>
      <c r="AB185" s="224"/>
      <c r="AC185" s="224"/>
      <c r="AD185" s="224"/>
      <c r="AE185" s="224"/>
      <c r="AF185" s="224"/>
      <c r="AG185" s="224"/>
      <c r="AH185" s="224"/>
      <c r="AI185" s="224"/>
    </row>
    <row r="186" spans="1:35" ht="18.75">
      <c r="A186" s="247" t="s">
        <v>431</v>
      </c>
      <c r="B186" s="228" t="s">
        <v>727</v>
      </c>
      <c r="C186" s="243"/>
      <c r="D186" s="243" t="str">
        <f t="shared" si="48"/>
        <v/>
      </c>
      <c r="E186" s="243" t="str">
        <f t="shared" si="49"/>
        <v/>
      </c>
      <c r="F186" s="243" t="str">
        <f t="shared" si="50"/>
        <v/>
      </c>
      <c r="G186" s="244" t="str">
        <f t="shared" si="51"/>
        <v/>
      </c>
      <c r="I186" s="245" t="s">
        <v>450</v>
      </c>
      <c r="J186" s="228"/>
      <c r="K186" s="229"/>
      <c r="L186" s="229"/>
      <c r="M186" s="228"/>
      <c r="N186" s="228"/>
      <c r="O186" s="228"/>
      <c r="P186" s="228"/>
      <c r="Q186" s="321"/>
      <c r="R186" s="249"/>
      <c r="S186" s="224"/>
      <c r="T186" s="225"/>
      <c r="U186" s="224"/>
      <c r="V186" s="226"/>
      <c r="W186" s="224"/>
      <c r="X186" s="224"/>
      <c r="Y186" s="224"/>
      <c r="Z186" s="224"/>
      <c r="AA186" s="226"/>
      <c r="AB186" s="224"/>
      <c r="AC186" s="224"/>
      <c r="AD186" s="224"/>
      <c r="AE186" s="224"/>
      <c r="AF186" s="224"/>
      <c r="AG186" s="224"/>
      <c r="AH186" s="224"/>
      <c r="AI186" s="224"/>
    </row>
    <row r="187" spans="1:35" ht="18.75">
      <c r="A187" s="247" t="s">
        <v>443</v>
      </c>
      <c r="B187" s="228" t="s">
        <v>728</v>
      </c>
      <c r="C187" s="243"/>
      <c r="D187" s="243" t="str">
        <f t="shared" si="48"/>
        <v/>
      </c>
      <c r="E187" s="243" t="str">
        <f t="shared" si="49"/>
        <v/>
      </c>
      <c r="F187" s="243" t="str">
        <f t="shared" si="50"/>
        <v/>
      </c>
      <c r="G187" s="244" t="str">
        <f t="shared" si="51"/>
        <v/>
      </c>
      <c r="I187" s="245" t="s">
        <v>729</v>
      </c>
      <c r="J187" s="228"/>
      <c r="K187" s="229"/>
      <c r="L187" s="229"/>
      <c r="M187" s="228"/>
      <c r="N187" s="228"/>
      <c r="O187" s="228"/>
      <c r="P187" s="228"/>
      <c r="Q187" s="322"/>
      <c r="R187" s="228"/>
      <c r="S187" s="224"/>
      <c r="T187" s="225"/>
      <c r="U187" s="224"/>
      <c r="V187" s="226"/>
      <c r="W187" s="224"/>
      <c r="X187" s="224"/>
      <c r="Y187" s="224"/>
      <c r="Z187" s="224"/>
      <c r="AA187" s="226"/>
      <c r="AB187" s="224"/>
      <c r="AC187" s="224"/>
      <c r="AD187" s="224"/>
      <c r="AE187" s="224"/>
      <c r="AF187" s="224"/>
      <c r="AG187" s="224"/>
      <c r="AH187" s="224"/>
      <c r="AI187" s="224"/>
    </row>
    <row r="188" spans="1:35" ht="18.75">
      <c r="A188" s="247" t="s">
        <v>439</v>
      </c>
      <c r="B188" s="228" t="s">
        <v>730</v>
      </c>
      <c r="C188" s="243"/>
      <c r="D188" s="243" t="str">
        <f t="shared" si="48"/>
        <v/>
      </c>
      <c r="E188" s="243" t="str">
        <f t="shared" si="49"/>
        <v/>
      </c>
      <c r="F188" s="243" t="str">
        <f t="shared" si="50"/>
        <v/>
      </c>
      <c r="G188" s="244" t="str">
        <f t="shared" si="51"/>
        <v/>
      </c>
      <c r="I188" s="247" t="s">
        <v>731</v>
      </c>
      <c r="J188" s="228"/>
      <c r="K188" s="229"/>
      <c r="L188" s="229"/>
      <c r="M188" s="228"/>
      <c r="N188" s="228"/>
      <c r="O188" s="228"/>
      <c r="P188" s="228"/>
      <c r="Q188" s="322"/>
      <c r="R188" s="228"/>
      <c r="S188" s="224"/>
      <c r="T188" s="225"/>
      <c r="U188" s="224"/>
      <c r="V188" s="226"/>
      <c r="W188" s="224"/>
      <c r="X188" s="224"/>
      <c r="Y188" s="224"/>
      <c r="Z188" s="224"/>
      <c r="AA188" s="226"/>
      <c r="AB188" s="224"/>
      <c r="AC188" s="224"/>
      <c r="AD188" s="224"/>
      <c r="AE188" s="224"/>
      <c r="AF188" s="224"/>
      <c r="AG188" s="224"/>
      <c r="AH188" s="224"/>
      <c r="AI188" s="224"/>
    </row>
    <row r="189" spans="1:35" ht="18.75">
      <c r="A189" s="247" t="s">
        <v>444</v>
      </c>
      <c r="B189" s="228" t="s">
        <v>732</v>
      </c>
      <c r="C189" s="243"/>
      <c r="D189" s="243" t="str">
        <f t="shared" si="48"/>
        <v/>
      </c>
      <c r="E189" s="243" t="str">
        <f t="shared" si="49"/>
        <v/>
      </c>
      <c r="F189" s="243" t="str">
        <f t="shared" si="50"/>
        <v/>
      </c>
      <c r="G189" s="244" t="str">
        <f t="shared" si="51"/>
        <v/>
      </c>
      <c r="I189" s="119"/>
      <c r="L189" s="118"/>
      <c r="Q189" s="325"/>
      <c r="R189" s="228"/>
      <c r="S189" s="224"/>
      <c r="T189" s="225"/>
      <c r="U189" s="224"/>
      <c r="V189" s="226"/>
      <c r="W189" s="224"/>
      <c r="X189" s="224"/>
      <c r="Y189" s="224"/>
      <c r="Z189" s="224"/>
      <c r="AA189" s="226"/>
      <c r="AB189" s="224"/>
      <c r="AC189" s="224"/>
      <c r="AD189" s="224"/>
      <c r="AE189" s="224"/>
      <c r="AF189" s="224"/>
      <c r="AG189" s="224"/>
      <c r="AH189" s="224"/>
      <c r="AI189" s="224"/>
    </row>
    <row r="190" spans="1:35" ht="18.75">
      <c r="A190" s="247" t="s">
        <v>440</v>
      </c>
      <c r="B190" s="228" t="s">
        <v>733</v>
      </c>
      <c r="C190" s="243"/>
      <c r="D190" s="243" t="str">
        <f t="shared" si="48"/>
        <v/>
      </c>
      <c r="E190" s="243" t="str">
        <f t="shared" si="49"/>
        <v/>
      </c>
      <c r="F190" s="243" t="str">
        <f t="shared" si="50"/>
        <v/>
      </c>
      <c r="G190" s="244" t="str">
        <f t="shared" si="51"/>
        <v/>
      </c>
      <c r="I190" s="247"/>
      <c r="J190" s="228"/>
      <c r="K190" s="229"/>
      <c r="L190" s="229"/>
      <c r="M190" s="228"/>
      <c r="N190" s="228"/>
      <c r="O190" s="228"/>
      <c r="P190" s="228"/>
      <c r="Q190" s="322"/>
      <c r="R190" s="228"/>
      <c r="S190" s="224"/>
      <c r="T190" s="225"/>
      <c r="U190" s="224"/>
      <c r="V190" s="226"/>
      <c r="W190" s="224"/>
      <c r="X190" s="224"/>
      <c r="Y190" s="224"/>
      <c r="Z190" s="224"/>
      <c r="AA190" s="226"/>
      <c r="AB190" s="224"/>
      <c r="AC190" s="224"/>
      <c r="AD190" s="224"/>
      <c r="AE190" s="224"/>
      <c r="AF190" s="224"/>
      <c r="AG190" s="224"/>
      <c r="AH190" s="224"/>
      <c r="AI190" s="224"/>
    </row>
    <row r="191" spans="1:35" ht="19.5" thickBot="1">
      <c r="A191" s="250" t="s">
        <v>433</v>
      </c>
      <c r="B191" s="251" t="s">
        <v>734</v>
      </c>
      <c r="C191" s="258"/>
      <c r="D191" s="258" t="str">
        <f t="shared" si="48"/>
        <v/>
      </c>
      <c r="E191" s="258" t="str">
        <f t="shared" si="49"/>
        <v/>
      </c>
      <c r="F191" s="258" t="str">
        <f t="shared" si="50"/>
        <v/>
      </c>
      <c r="G191" s="259" t="str">
        <f t="shared" si="51"/>
        <v/>
      </c>
      <c r="I191" s="247"/>
      <c r="J191" s="228"/>
      <c r="K191" s="229"/>
      <c r="L191" s="229"/>
      <c r="M191" s="228"/>
      <c r="N191" s="228"/>
      <c r="O191" s="228"/>
      <c r="P191" s="228"/>
      <c r="Q191" s="322"/>
      <c r="R191" s="228"/>
      <c r="S191" s="224"/>
      <c r="T191" s="225"/>
      <c r="U191" s="224"/>
      <c r="V191" s="226"/>
      <c r="W191" s="224"/>
      <c r="X191" s="224"/>
      <c r="Y191" s="224"/>
      <c r="Z191" s="224"/>
      <c r="AA191" s="226"/>
      <c r="AB191" s="224"/>
      <c r="AC191" s="224"/>
      <c r="AD191" s="224"/>
      <c r="AE191" s="224"/>
      <c r="AF191" s="224"/>
      <c r="AG191" s="224"/>
      <c r="AH191" s="224"/>
      <c r="AI191" s="224"/>
    </row>
    <row r="192" spans="1:35" s="233" customFormat="1" ht="22.5" customHeight="1" thickBot="1">
      <c r="A192" s="463" t="s">
        <v>735</v>
      </c>
      <c r="B192" s="464"/>
      <c r="C192" s="337"/>
      <c r="D192" s="337">
        <f>SUM(D175:D191)</f>
        <v>0</v>
      </c>
      <c r="E192" s="337">
        <f>SUM(E175:E191)</f>
        <v>0</v>
      </c>
      <c r="F192" s="337"/>
      <c r="G192" s="362" t="str">
        <f>IFERROR(+(D192+E192)/D192,"")</f>
        <v/>
      </c>
      <c r="I192" s="261"/>
      <c r="J192" s="262"/>
      <c r="K192" s="263"/>
      <c r="L192" s="263"/>
      <c r="M192" s="262"/>
      <c r="N192" s="262"/>
      <c r="O192" s="262"/>
      <c r="P192" s="262"/>
      <c r="Q192" s="326"/>
      <c r="R192" s="262"/>
      <c r="S192" s="237"/>
      <c r="T192" s="238"/>
      <c r="U192" s="237"/>
      <c r="V192" s="239"/>
      <c r="W192" s="237"/>
      <c r="X192" s="237"/>
      <c r="Y192" s="237"/>
      <c r="Z192" s="237"/>
      <c r="AA192" s="239"/>
      <c r="AB192" s="237"/>
      <c r="AC192" s="237"/>
      <c r="AD192" s="237"/>
      <c r="AE192" s="237"/>
      <c r="AF192" s="237"/>
      <c r="AG192" s="237"/>
      <c r="AH192" s="237"/>
      <c r="AI192" s="237"/>
    </row>
    <row r="193" spans="1:35" s="266" customFormat="1" ht="19.5" thickTop="1">
      <c r="A193" s="264" t="s">
        <v>445</v>
      </c>
      <c r="B193" s="265" t="s">
        <v>736</v>
      </c>
      <c r="C193" s="260"/>
      <c r="D193" s="260" t="str">
        <f>IF(SUMIF(S:S,A193,T:T)=0,"",SUMIF(S:S,A193,T:T))</f>
        <v/>
      </c>
      <c r="E193" s="260" t="str">
        <f>IF(SUMIF(S:S,A193,W:W)=0,"",SUMIF(S:S,A193,W:W)*-1)</f>
        <v/>
      </c>
      <c r="F193" s="260" t="str">
        <f>IF(SUM(D193)+(SUM(E193))=0,"",SUM(D193)+(SUM(E193)))</f>
        <v/>
      </c>
      <c r="G193" s="361" t="str">
        <f>IFERROR(+F193/D193,"")</f>
        <v/>
      </c>
      <c r="I193" s="267"/>
      <c r="J193" s="268"/>
      <c r="K193" s="269"/>
      <c r="L193" s="269"/>
      <c r="M193" s="268"/>
      <c r="N193" s="268"/>
      <c r="O193" s="268"/>
      <c r="P193" s="268"/>
      <c r="Q193" s="327"/>
      <c r="R193" s="268"/>
      <c r="S193" s="270"/>
      <c r="T193" s="271"/>
      <c r="U193" s="270"/>
      <c r="V193" s="272"/>
      <c r="W193" s="270"/>
      <c r="X193" s="270"/>
      <c r="Y193" s="270"/>
      <c r="Z193" s="270"/>
      <c r="AA193" s="272"/>
      <c r="AB193" s="270"/>
      <c r="AC193" s="270"/>
      <c r="AD193" s="270"/>
      <c r="AE193" s="270"/>
      <c r="AF193" s="270"/>
      <c r="AG193" s="270"/>
      <c r="AH193" s="270"/>
      <c r="AI193" s="270"/>
    </row>
    <row r="194" spans="1:35" s="266" customFormat="1" ht="19.5" thickBot="1">
      <c r="A194" s="273" t="s">
        <v>446</v>
      </c>
      <c r="B194" s="274" t="s">
        <v>737</v>
      </c>
      <c r="C194" s="275"/>
      <c r="D194" s="275" t="str">
        <f>IF(SUMIF(S:S,A194,T:T)=0,"",SUMIF(S:S,A194,T:T))</f>
        <v/>
      </c>
      <c r="E194" s="275" t="str">
        <f>IF(SUMIF(S:S,A194,W:W)=0,"",SUMIF(S:S,A194,W:W)*-1)</f>
        <v/>
      </c>
      <c r="F194" s="275" t="str">
        <f>IF(SUM(D194)+(SUM(E194))=0,"",SUM(D194)+(SUM(E194)))</f>
        <v/>
      </c>
      <c r="G194" s="276" t="str">
        <f>IFERROR(+F194/D194,"")</f>
        <v/>
      </c>
      <c r="I194" s="267"/>
      <c r="J194" s="268"/>
      <c r="K194" s="269"/>
      <c r="L194" s="269"/>
      <c r="M194" s="268"/>
      <c r="N194" s="268"/>
      <c r="O194" s="268"/>
      <c r="P194" s="268"/>
      <c r="Q194" s="327"/>
      <c r="R194" s="268"/>
      <c r="S194" s="270"/>
      <c r="T194" s="271"/>
      <c r="U194" s="270"/>
      <c r="V194" s="272"/>
      <c r="W194" s="270"/>
      <c r="X194" s="270"/>
      <c r="Y194" s="270"/>
      <c r="Z194" s="270"/>
      <c r="AA194" s="272"/>
      <c r="AB194" s="270"/>
      <c r="AC194" s="270"/>
      <c r="AD194" s="270"/>
      <c r="AE194" s="270"/>
      <c r="AF194" s="270"/>
      <c r="AG194" s="270"/>
      <c r="AH194" s="270"/>
      <c r="AI194" s="270"/>
    </row>
    <row r="195" spans="1:35" ht="19.5" thickBot="1">
      <c r="A195" s="465" t="s">
        <v>738</v>
      </c>
      <c r="B195" s="466"/>
      <c r="C195" s="216"/>
      <c r="D195" s="216">
        <f>SUM(D192:D194)</f>
        <v>0</v>
      </c>
      <c r="E195" s="216">
        <f>SUM(E192:E194)</f>
        <v>0</v>
      </c>
      <c r="F195" s="216"/>
      <c r="G195" s="217" t="str">
        <f>IFERROR(+(D195+E195)/D195,"")</f>
        <v/>
      </c>
      <c r="I195" s="250"/>
      <c r="J195" s="251"/>
      <c r="K195" s="252"/>
      <c r="L195" s="252"/>
      <c r="M195" s="251"/>
      <c r="N195" s="251"/>
      <c r="O195" s="251"/>
      <c r="P195" s="251"/>
      <c r="Q195" s="323"/>
      <c r="R195" s="228"/>
      <c r="S195" s="224"/>
      <c r="T195" s="225"/>
      <c r="U195" s="224"/>
      <c r="V195" s="226"/>
      <c r="W195" s="224"/>
      <c r="X195" s="224"/>
      <c r="Y195" s="224"/>
      <c r="Z195" s="224"/>
      <c r="AA195" s="226"/>
      <c r="AB195" s="224"/>
      <c r="AC195" s="224"/>
      <c r="AD195" s="224"/>
      <c r="AE195" s="224"/>
      <c r="AF195" s="224"/>
      <c r="AG195" s="224"/>
      <c r="AH195" s="224"/>
      <c r="AI195" s="224"/>
    </row>
    <row r="196" spans="1:35" ht="16.5" customHeight="1">
      <c r="E196" s="118"/>
      <c r="H196" s="228"/>
      <c r="I196" s="228"/>
      <c r="J196" s="228"/>
      <c r="K196" s="229"/>
      <c r="L196" s="228"/>
      <c r="M196" s="228"/>
      <c r="N196" s="228"/>
      <c r="O196" s="228"/>
      <c r="P196" s="228"/>
      <c r="Q196" s="229"/>
      <c r="R196" s="228"/>
      <c r="S196" s="224"/>
      <c r="T196" s="225"/>
      <c r="U196" s="224"/>
      <c r="V196" s="226"/>
      <c r="W196" s="224"/>
      <c r="X196" s="224"/>
      <c r="Y196" s="224"/>
      <c r="Z196" s="224"/>
      <c r="AA196" s="226"/>
      <c r="AB196" s="224"/>
      <c r="AC196" s="224"/>
      <c r="AD196" s="224"/>
      <c r="AE196" s="224"/>
      <c r="AF196" s="224"/>
      <c r="AG196" s="224"/>
      <c r="AH196" s="224"/>
      <c r="AI196" s="224"/>
    </row>
    <row r="197" spans="1:35" ht="16.5" customHeight="1">
      <c r="A197" t="s">
        <v>739</v>
      </c>
      <c r="E197" s="118"/>
      <c r="H197" s="233"/>
      <c r="I197" s="262"/>
      <c r="J197" s="262"/>
      <c r="K197" s="263"/>
      <c r="L197" s="262"/>
      <c r="M197" s="262"/>
      <c r="N197" s="262"/>
      <c r="O197" s="262"/>
      <c r="P197" s="262"/>
      <c r="Q197" s="229"/>
      <c r="R197" s="262"/>
      <c r="S197" s="224"/>
      <c r="T197" s="225"/>
      <c r="U197" s="224"/>
      <c r="V197" s="226"/>
      <c r="W197" s="224"/>
      <c r="X197" s="224"/>
      <c r="Y197" s="224"/>
      <c r="Z197" s="224"/>
      <c r="AA197" s="226"/>
      <c r="AB197" s="224"/>
      <c r="AC197" s="224"/>
      <c r="AD197" s="224"/>
      <c r="AE197" s="224"/>
      <c r="AF197" s="224"/>
      <c r="AG197" s="224"/>
      <c r="AH197" s="224"/>
      <c r="AI197" s="224"/>
    </row>
    <row r="198" spans="1:35" ht="16.5" customHeight="1">
      <c r="E198" s="118"/>
      <c r="H198" s="228"/>
      <c r="I198" s="228"/>
      <c r="J198" s="228"/>
      <c r="K198" s="229"/>
      <c r="L198" s="228"/>
      <c r="M198" s="228"/>
      <c r="N198" s="228"/>
      <c r="O198" s="228"/>
      <c r="P198" s="228"/>
      <c r="Q198" s="229"/>
      <c r="R198" s="228"/>
      <c r="S198" s="224"/>
      <c r="T198" s="225"/>
      <c r="U198" s="224"/>
      <c r="V198" s="226"/>
      <c r="W198" s="224"/>
      <c r="X198" s="224"/>
      <c r="Y198" s="224"/>
      <c r="Z198" s="224"/>
      <c r="AA198" s="226"/>
      <c r="AB198" s="224"/>
      <c r="AC198" s="224"/>
      <c r="AD198" s="224"/>
      <c r="AE198" s="224"/>
      <c r="AF198" s="224"/>
      <c r="AG198" s="224"/>
      <c r="AH198" s="224"/>
      <c r="AI198" s="224"/>
    </row>
    <row r="199" spans="1:35" ht="16.5" customHeight="1">
      <c r="E199" s="118"/>
      <c r="Q199" s="229"/>
      <c r="S199" s="224"/>
      <c r="T199" s="225"/>
      <c r="U199" s="224"/>
      <c r="V199" s="226"/>
      <c r="W199" s="224"/>
      <c r="X199" s="224"/>
      <c r="Y199" s="224"/>
      <c r="Z199" s="224"/>
      <c r="AA199" s="226"/>
      <c r="AB199" s="224"/>
      <c r="AC199" s="224"/>
      <c r="AD199" s="224"/>
      <c r="AE199" s="224"/>
      <c r="AF199" s="224"/>
      <c r="AG199" s="224"/>
      <c r="AH199" s="224"/>
      <c r="AI199" s="224"/>
    </row>
  </sheetData>
  <protectedRanges>
    <protectedRange algorithmName="SHA-512" hashValue="xvb2BWyqVjOBOB4ui6nd6KUAJCZgomGIt4hnXiyFrkpVONvMfkxhWHlRRTjNRnOl/kZQzP6DVUm+bD/PMZz9Gg==" saltValue="LJ9o1pVCuYvBC80xx0T6+w==" spinCount="100000" sqref="F173 L170:Q183 Q196:Q199 A170:B193 C170:G172 A195:B195 G174 H196:P196 H170:K171 I190:Q195 I172:K183 I185:Q188 G192:G195 D173:E195 R170:XFD193" name="Ventas Costes y Margen"/>
    <protectedRange algorithmName="SHA-512" hashValue="xvb2BWyqVjOBOB4ui6nd6KUAJCZgomGIt4hnXiyFrkpVONvMfkxhWHlRRTjNRnOl/kZQzP6DVUm+bD/PMZz9Gg==" saltValue="LJ9o1pVCuYvBC80xx0T6+w==" spinCount="100000" sqref="A194:B194" name="Ventas Costes y Margen_3_2_1"/>
    <protectedRange algorithmName="SHA-512" hashValue="xvb2BWyqVjOBOB4ui6nd6KUAJCZgomGIt4hnXiyFrkpVONvMfkxhWHlRRTjNRnOl/kZQzP6DVUm+bD/PMZz9Gg==" saltValue="LJ9o1pVCuYvBC80xx0T6+w==" spinCount="100000" sqref="G175:G191" name="Ventas Costes y Margen_4"/>
  </protectedRanges>
  <mergeCells count="198">
    <mergeCell ref="B73:C73"/>
    <mergeCell ref="B112:C112"/>
    <mergeCell ref="B113:C113"/>
    <mergeCell ref="B114:C114"/>
    <mergeCell ref="B81:C81"/>
    <mergeCell ref="B82:C82"/>
    <mergeCell ref="B83:C83"/>
    <mergeCell ref="B137:C137"/>
    <mergeCell ref="B128:C128"/>
    <mergeCell ref="B129:C129"/>
    <mergeCell ref="B115:C115"/>
    <mergeCell ref="B116:C116"/>
    <mergeCell ref="B123:C123"/>
    <mergeCell ref="B124:C124"/>
    <mergeCell ref="B117:C117"/>
    <mergeCell ref="B118:C118"/>
    <mergeCell ref="B119:C119"/>
    <mergeCell ref="B111:C111"/>
    <mergeCell ref="B74:C74"/>
    <mergeCell ref="A24:A26"/>
    <mergeCell ref="B26:C26"/>
    <mergeCell ref="B67:C67"/>
    <mergeCell ref="B108:C108"/>
    <mergeCell ref="B110:C110"/>
    <mergeCell ref="B100:C100"/>
    <mergeCell ref="B101:C101"/>
    <mergeCell ref="B102:C102"/>
    <mergeCell ref="B103:C103"/>
    <mergeCell ref="B104:C104"/>
    <mergeCell ref="B88:C88"/>
    <mergeCell ref="B89:C89"/>
    <mergeCell ref="B90:C90"/>
    <mergeCell ref="B93:C93"/>
    <mergeCell ref="B37:C37"/>
    <mergeCell ref="B63:C63"/>
    <mergeCell ref="A45:A46"/>
    <mergeCell ref="A35:A38"/>
    <mergeCell ref="A50:A61"/>
    <mergeCell ref="A62:A65"/>
    <mergeCell ref="A42:A43"/>
    <mergeCell ref="A32:A33"/>
    <mergeCell ref="B51:C51"/>
    <mergeCell ref="B52:C52"/>
    <mergeCell ref="B138:C138"/>
    <mergeCell ref="B27:C27"/>
    <mergeCell ref="B29:C29"/>
    <mergeCell ref="B30:C30"/>
    <mergeCell ref="B39:C39"/>
    <mergeCell ref="B47:C47"/>
    <mergeCell ref="B132:C132"/>
    <mergeCell ref="B133:C133"/>
    <mergeCell ref="B134:C134"/>
    <mergeCell ref="B135:C135"/>
    <mergeCell ref="B136:C136"/>
    <mergeCell ref="B125:C125"/>
    <mergeCell ref="B126:C126"/>
    <mergeCell ref="B130:C130"/>
    <mergeCell ref="B131:C131"/>
    <mergeCell ref="B120:C120"/>
    <mergeCell ref="B121:C121"/>
    <mergeCell ref="B122:C122"/>
    <mergeCell ref="B79:C79"/>
    <mergeCell ref="B80:C80"/>
    <mergeCell ref="B65:C65"/>
    <mergeCell ref="B66:C66"/>
    <mergeCell ref="B68:C68"/>
    <mergeCell ref="B36:C36"/>
    <mergeCell ref="G14:H14"/>
    <mergeCell ref="B45:C45"/>
    <mergeCell ref="B46:C46"/>
    <mergeCell ref="B49:C49"/>
    <mergeCell ref="B61:C61"/>
    <mergeCell ref="B62:C62"/>
    <mergeCell ref="B53:C53"/>
    <mergeCell ref="B54:C54"/>
    <mergeCell ref="B55:C55"/>
    <mergeCell ref="B20:C20"/>
    <mergeCell ref="B24:C24"/>
    <mergeCell ref="B25:C25"/>
    <mergeCell ref="B32:C32"/>
    <mergeCell ref="B33:C33"/>
    <mergeCell ref="B34:C34"/>
    <mergeCell ref="B35:C35"/>
    <mergeCell ref="B57:C57"/>
    <mergeCell ref="B56:C56"/>
    <mergeCell ref="B50:C50"/>
    <mergeCell ref="B38:C38"/>
    <mergeCell ref="B41:C41"/>
    <mergeCell ref="B42:C42"/>
    <mergeCell ref="B44:C44"/>
    <mergeCell ref="B43:C43"/>
    <mergeCell ref="B64:C64"/>
    <mergeCell ref="B75:C75"/>
    <mergeCell ref="P11:Q11"/>
    <mergeCell ref="P12:Q12"/>
    <mergeCell ref="P13:Q13"/>
    <mergeCell ref="P10:Q10"/>
    <mergeCell ref="P8:Q9"/>
    <mergeCell ref="R8:R9"/>
    <mergeCell ref="I17:K17"/>
    <mergeCell ref="L17:L18"/>
    <mergeCell ref="M17:R17"/>
    <mergeCell ref="G10:H10"/>
    <mergeCell ref="G11:H11"/>
    <mergeCell ref="G12:H12"/>
    <mergeCell ref="G13:H13"/>
    <mergeCell ref="A8:H8"/>
    <mergeCell ref="B10:D10"/>
    <mergeCell ref="B11:C11"/>
    <mergeCell ref="A66:A74"/>
    <mergeCell ref="A75:A77"/>
    <mergeCell ref="B69:C69"/>
    <mergeCell ref="B70:C70"/>
    <mergeCell ref="B71:C71"/>
    <mergeCell ref="B72:C72"/>
    <mergeCell ref="B58:C58"/>
    <mergeCell ref="B59:C59"/>
    <mergeCell ref="B60:C60"/>
    <mergeCell ref="F174:G174"/>
    <mergeCell ref="A192:B192"/>
    <mergeCell ref="A195:B195"/>
    <mergeCell ref="B97:C97"/>
    <mergeCell ref="U16:Y16"/>
    <mergeCell ref="AE16:AJ16"/>
    <mergeCell ref="T17:T18"/>
    <mergeCell ref="U17:U18"/>
    <mergeCell ref="V17:V18"/>
    <mergeCell ref="W17:W18"/>
    <mergeCell ref="X17:X18"/>
    <mergeCell ref="Y17:Y18"/>
    <mergeCell ref="AE17:AF17"/>
    <mergeCell ref="AG17:AH17"/>
    <mergeCell ref="AI17:AJ17"/>
    <mergeCell ref="A17:C18"/>
    <mergeCell ref="D17:D18"/>
    <mergeCell ref="E17:E18"/>
    <mergeCell ref="F17:F18"/>
    <mergeCell ref="G17:G18"/>
    <mergeCell ref="H17:H18"/>
    <mergeCell ref="A171:G171"/>
    <mergeCell ref="A172:G172"/>
    <mergeCell ref="F173:G173"/>
    <mergeCell ref="B76:C76"/>
    <mergeCell ref="B77:C77"/>
    <mergeCell ref="B78:C78"/>
    <mergeCell ref="B92:C92"/>
    <mergeCell ref="B94:C94"/>
    <mergeCell ref="B109:C109"/>
    <mergeCell ref="B105:C105"/>
    <mergeCell ref="B106:C106"/>
    <mergeCell ref="B107:C107"/>
    <mergeCell ref="A146:G146"/>
    <mergeCell ref="A160:C160"/>
    <mergeCell ref="A145:G145"/>
    <mergeCell ref="A78:A82"/>
    <mergeCell ref="B98:C98"/>
    <mergeCell ref="B95:C95"/>
    <mergeCell ref="B96:C96"/>
    <mergeCell ref="B99:C99"/>
    <mergeCell ref="B84:C84"/>
    <mergeCell ref="B85:C85"/>
    <mergeCell ref="B87:C87"/>
    <mergeCell ref="B91:C91"/>
    <mergeCell ref="P150:Q150"/>
    <mergeCell ref="P151:Q151"/>
    <mergeCell ref="P152:Q152"/>
    <mergeCell ref="P153:Q153"/>
    <mergeCell ref="Z17:Z18"/>
    <mergeCell ref="Z16:AD16"/>
    <mergeCell ref="AA17:AA18"/>
    <mergeCell ref="AB17:AB18"/>
    <mergeCell ref="AC17:AC18"/>
    <mergeCell ref="AD17:AD18"/>
    <mergeCell ref="N144:Q144"/>
    <mergeCell ref="P154:Q154"/>
    <mergeCell ref="P155:Q155"/>
    <mergeCell ref="P156:Q156"/>
    <mergeCell ref="P157:Q157"/>
    <mergeCell ref="P158:Q158"/>
    <mergeCell ref="N145:O145"/>
    <mergeCell ref="N146:O146"/>
    <mergeCell ref="N147:O147"/>
    <mergeCell ref="N148:O148"/>
    <mergeCell ref="N149:O149"/>
    <mergeCell ref="N150:O150"/>
    <mergeCell ref="N151:O151"/>
    <mergeCell ref="N152:O152"/>
    <mergeCell ref="N153:O153"/>
    <mergeCell ref="N154:O154"/>
    <mergeCell ref="N155:O155"/>
    <mergeCell ref="N156:O156"/>
    <mergeCell ref="N157:O157"/>
    <mergeCell ref="N158:O158"/>
    <mergeCell ref="P145:Q145"/>
    <mergeCell ref="P146:Q146"/>
    <mergeCell ref="P147:Q147"/>
    <mergeCell ref="P148:Q148"/>
    <mergeCell ref="P149:Q149"/>
  </mergeCells>
  <conditionalFormatting sqref="A8 U17:AJ18 T19:AJ139">
    <cfRule type="cellIs" dxfId="25" priority="66" operator="equal">
      <formula>"Error"</formula>
    </cfRule>
  </conditionalFormatting>
  <conditionalFormatting sqref="A171:A173 I185">
    <cfRule type="cellIs" dxfId="24" priority="44" operator="equal">
      <formula>"Error"</formula>
    </cfRule>
  </conditionalFormatting>
  <conditionalFormatting sqref="A174:E199">
    <cfRule type="cellIs" dxfId="23" priority="37" operator="equal">
      <formula>"Error"</formula>
    </cfRule>
  </conditionalFormatting>
  <conditionalFormatting sqref="A169:K170 H171:K171 I172:K173 I174:I183 J175:Q183 R175:R185 I186:Q188 R187:R192 I190:Q192 I193:R194 I195:K195 L195:R199 F196:K199">
    <cfRule type="cellIs" dxfId="22" priority="41" operator="equal">
      <formula>"Error"</formula>
    </cfRule>
  </conditionalFormatting>
  <conditionalFormatting sqref="F173:F195">
    <cfRule type="cellIs" dxfId="21" priority="39" operator="equal">
      <formula>"Error"</formula>
    </cfRule>
  </conditionalFormatting>
  <conditionalFormatting sqref="G175:G195">
    <cfRule type="cellIs" dxfId="20" priority="38" operator="equal">
      <formula>"Error"</formula>
    </cfRule>
  </conditionalFormatting>
  <conditionalFormatting sqref="I17">
    <cfRule type="cellIs" dxfId="19" priority="65" operator="equal">
      <formula>"Error"</formula>
    </cfRule>
  </conditionalFormatting>
  <conditionalFormatting sqref="I140:J141">
    <cfRule type="cellIs" dxfId="18" priority="45" operator="equal">
      <formula>"Error"</formula>
    </cfRule>
  </conditionalFormatting>
  <conditionalFormatting sqref="L17:M17 I18:K18">
    <cfRule type="cellIs" dxfId="17" priority="64" operator="equal">
      <formula>"Error"</formula>
    </cfRule>
  </conditionalFormatting>
  <conditionalFormatting sqref="L169:R173">
    <cfRule type="cellIs" dxfId="16" priority="36" operator="equal">
      <formula>"Error"</formula>
    </cfRule>
  </conditionalFormatting>
  <conditionalFormatting sqref="M18:R18">
    <cfRule type="cellIs" dxfId="15" priority="62" operator="equal">
      <formula>"Error"</formula>
    </cfRule>
  </conditionalFormatting>
  <conditionalFormatting sqref="M42:R43">
    <cfRule type="cellIs" dxfId="14" priority="35" operator="equal">
      <formula>"Error"</formula>
    </cfRule>
  </conditionalFormatting>
  <conditionalFormatting sqref="M50:R61">
    <cfRule type="cellIs" dxfId="13" priority="13" operator="equal">
      <formula>"Error"</formula>
    </cfRule>
  </conditionalFormatting>
  <conditionalFormatting sqref="M92:R92">
    <cfRule type="cellIs" dxfId="12" priority="11" operator="equal">
      <formula>"Error"</formula>
    </cfRule>
  </conditionalFormatting>
  <conditionalFormatting sqref="M96:R105">
    <cfRule type="cellIs" dxfId="11" priority="1" operator="equal">
      <formula>"Error"</formula>
    </cfRule>
  </conditionalFormatting>
  <conditionalFormatting sqref="R8 R11">
    <cfRule type="cellIs" dxfId="10" priority="61" operator="equal">
      <formula>"Error"</formula>
    </cfRule>
  </conditionalFormatting>
  <conditionalFormatting sqref="R13">
    <cfRule type="cellIs" dxfId="9" priority="60" operator="equal">
      <formula>"Error"</formula>
    </cfRule>
  </conditionalFormatting>
  <conditionalFormatting sqref="S169:AI199">
    <cfRule type="cellIs" dxfId="8" priority="40" operator="equal">
      <formula>"Error"</formula>
    </cfRule>
  </conditionalFormatting>
  <conditionalFormatting sqref="U141:AD142">
    <cfRule type="cellIs" dxfId="7" priority="46" operator="equal">
      <formula>"Error"</formula>
    </cfRule>
  </conditionalFormatting>
  <conditionalFormatting sqref="U142:AI142">
    <cfRule type="cellIs" dxfId="6" priority="49" operator="equal">
      <formula>0</formula>
    </cfRule>
    <cfRule type="cellIs" dxfId="5" priority="50" operator="notEqual">
      <formula>0</formula>
    </cfRule>
  </conditionalFormatting>
  <conditionalFormatting sqref="U142:AJ142">
    <cfRule type="cellIs" dxfId="4" priority="48" operator="equal">
      <formula>"Error"</formula>
    </cfRule>
  </conditionalFormatting>
  <conditionalFormatting sqref="AE16 U16:AD17 T17">
    <cfRule type="cellIs" dxfId="3" priority="59" operator="equal">
      <formula>"Error"</formula>
    </cfRule>
  </conditionalFormatting>
  <conditionalFormatting sqref="AE141:AI141">
    <cfRule type="cellIs" dxfId="2" priority="47" operator="equal">
      <formula>"Error"</formula>
    </cfRule>
  </conditionalFormatting>
  <conditionalFormatting sqref="AJ169:AJ171">
    <cfRule type="cellIs" dxfId="1" priority="42" operator="equal">
      <formula>"Error"</formula>
    </cfRule>
  </conditionalFormatting>
  <conditionalFormatting sqref="AJ174:AJ199">
    <cfRule type="cellIs" dxfId="0" priority="43" operator="equal">
      <formula>"Error"</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290CD-3EDE-4865-A7F1-381A411BFC46}">
  <sheetPr codeName="Hoja3"/>
  <dimension ref="A1:AE274"/>
  <sheetViews>
    <sheetView topLeftCell="A42" zoomScale="85" zoomScaleNormal="85" workbookViewId="0">
      <selection activeCell="T263" sqref="T263"/>
    </sheetView>
  </sheetViews>
  <sheetFormatPr baseColWidth="10" defaultRowHeight="15"/>
  <cols>
    <col min="2" max="2" width="30" bestFit="1" customWidth="1"/>
    <col min="3" max="3" width="13.85546875" bestFit="1" customWidth="1"/>
    <col min="4" max="4" width="13" bestFit="1" customWidth="1"/>
    <col min="7" max="7" width="41.5703125" bestFit="1" customWidth="1"/>
    <col min="11" max="11" width="28.140625" bestFit="1" customWidth="1"/>
    <col min="12" max="12" width="13.85546875" bestFit="1" customWidth="1"/>
    <col min="15" max="15" width="38" customWidth="1"/>
    <col min="16" max="16" width="37.7109375" bestFit="1" customWidth="1"/>
    <col min="17" max="17" width="14.28515625" bestFit="1" customWidth="1"/>
    <col min="18" max="18" width="12.85546875" bestFit="1" customWidth="1"/>
    <col min="20" max="20" width="11.42578125" customWidth="1"/>
    <col min="21" max="21" width="28.140625" bestFit="1" customWidth="1"/>
    <col min="22" max="22" width="17.7109375" bestFit="1" customWidth="1"/>
    <col min="23" max="23" width="26.140625" customWidth="1"/>
  </cols>
  <sheetData>
    <row r="1" spans="1:31" ht="15.75">
      <c r="P1" t="s">
        <v>843</v>
      </c>
      <c r="Q1" s="277" t="s">
        <v>836</v>
      </c>
      <c r="R1" s="277" t="s">
        <v>698</v>
      </c>
      <c r="S1" s="277" t="s">
        <v>837</v>
      </c>
      <c r="AD1" s="253" t="s">
        <v>741</v>
      </c>
    </row>
    <row r="2" spans="1:31">
      <c r="E2" s="329" t="s">
        <v>775</v>
      </c>
      <c r="F2" s="1" t="s">
        <v>430</v>
      </c>
      <c r="G2" t="s">
        <v>292</v>
      </c>
      <c r="H2" s="81">
        <v>8</v>
      </c>
      <c r="K2" s="16" t="s">
        <v>0</v>
      </c>
      <c r="L2" s="16"/>
      <c r="N2" s="1" t="s">
        <v>437</v>
      </c>
      <c r="P2" t="s">
        <v>237</v>
      </c>
      <c r="AD2" t="s">
        <v>21</v>
      </c>
      <c r="AE2" t="s">
        <v>744</v>
      </c>
    </row>
    <row r="3" spans="1:31" ht="15.75">
      <c r="B3" s="16" t="s">
        <v>61</v>
      </c>
      <c r="C3" s="16" t="s">
        <v>60</v>
      </c>
      <c r="E3" s="329" t="s">
        <v>775</v>
      </c>
      <c r="F3" s="1" t="s">
        <v>430</v>
      </c>
      <c r="G3" t="s">
        <v>293</v>
      </c>
      <c r="H3" s="81">
        <v>10</v>
      </c>
      <c r="K3" t="s">
        <v>62</v>
      </c>
      <c r="N3" s="1" t="s">
        <v>437</v>
      </c>
      <c r="O3" t="s">
        <v>427</v>
      </c>
      <c r="P3" s="1" t="s">
        <v>73</v>
      </c>
      <c r="Q3" s="81">
        <v>500</v>
      </c>
      <c r="R3" s="345">
        <v>9439.74</v>
      </c>
      <c r="S3" t="s">
        <v>747</v>
      </c>
      <c r="V3" s="253" t="s">
        <v>740</v>
      </c>
      <c r="Y3" s="118"/>
      <c r="AD3" t="s">
        <v>747</v>
      </c>
      <c r="AE3" t="s">
        <v>748</v>
      </c>
    </row>
    <row r="4" spans="1:31">
      <c r="A4" s="1" t="s">
        <v>20</v>
      </c>
      <c r="B4" t="s">
        <v>1</v>
      </c>
      <c r="C4" s="3">
        <v>1250</v>
      </c>
      <c r="E4" s="329" t="s">
        <v>775</v>
      </c>
      <c r="F4" s="1" t="s">
        <v>430</v>
      </c>
      <c r="G4" t="s">
        <v>387</v>
      </c>
      <c r="H4" s="81">
        <v>60</v>
      </c>
      <c r="K4" t="s">
        <v>65</v>
      </c>
      <c r="N4" s="1" t="s">
        <v>437</v>
      </c>
      <c r="O4" t="s">
        <v>427</v>
      </c>
      <c r="P4" s="1" t="s">
        <v>76</v>
      </c>
      <c r="Q4" s="81">
        <v>550</v>
      </c>
      <c r="R4" s="345">
        <v>10126.27</v>
      </c>
      <c r="S4" t="s">
        <v>747</v>
      </c>
      <c r="U4" s="1" t="s">
        <v>429</v>
      </c>
      <c r="V4" s="16" t="s">
        <v>694</v>
      </c>
      <c r="W4" s="16" t="s">
        <v>742</v>
      </c>
      <c r="X4" s="528" t="s">
        <v>743</v>
      </c>
      <c r="Y4" s="528"/>
      <c r="Z4" s="528"/>
    </row>
    <row r="5" spans="1:31">
      <c r="A5" s="1" t="s">
        <v>20</v>
      </c>
      <c r="B5" t="s">
        <v>2</v>
      </c>
      <c r="C5" s="3">
        <v>1750</v>
      </c>
      <c r="E5" s="329" t="s">
        <v>775</v>
      </c>
      <c r="F5" s="1" t="s">
        <v>430</v>
      </c>
      <c r="G5" t="s">
        <v>388</v>
      </c>
      <c r="H5" s="81">
        <v>75</v>
      </c>
      <c r="K5" t="s">
        <v>63</v>
      </c>
      <c r="N5" s="1" t="s">
        <v>437</v>
      </c>
      <c r="O5" t="s">
        <v>427</v>
      </c>
      <c r="P5" s="1" t="s">
        <v>77</v>
      </c>
      <c r="Q5" s="81">
        <v>500</v>
      </c>
      <c r="R5" s="345">
        <v>9439.74</v>
      </c>
      <c r="S5" t="s">
        <v>747</v>
      </c>
      <c r="U5" s="1" t="s">
        <v>20</v>
      </c>
      <c r="V5" t="s">
        <v>429</v>
      </c>
      <c r="W5" t="s">
        <v>745</v>
      </c>
      <c r="X5">
        <v>1</v>
      </c>
      <c r="Y5" s="278">
        <v>0.16</v>
      </c>
      <c r="Z5" t="s">
        <v>746</v>
      </c>
    </row>
    <row r="6" spans="1:31">
      <c r="A6" s="1" t="s">
        <v>20</v>
      </c>
      <c r="B6" t="s">
        <v>3</v>
      </c>
      <c r="C6" s="3">
        <v>1750</v>
      </c>
      <c r="E6" s="329" t="s">
        <v>775</v>
      </c>
      <c r="F6" s="1" t="s">
        <v>430</v>
      </c>
      <c r="G6" t="s">
        <v>389</v>
      </c>
      <c r="H6" s="81">
        <v>110</v>
      </c>
      <c r="K6" t="s">
        <v>415</v>
      </c>
      <c r="N6" s="1" t="s">
        <v>437</v>
      </c>
      <c r="O6" t="s">
        <v>427</v>
      </c>
      <c r="P6" s="1" t="s">
        <v>78</v>
      </c>
      <c r="Q6" s="81">
        <v>610</v>
      </c>
      <c r="R6" s="345">
        <v>11842.6</v>
      </c>
      <c r="S6" t="s">
        <v>747</v>
      </c>
      <c r="U6" s="1" t="s">
        <v>430</v>
      </c>
      <c r="V6" t="s">
        <v>20</v>
      </c>
      <c r="W6" t="s">
        <v>749</v>
      </c>
      <c r="X6">
        <v>1</v>
      </c>
      <c r="Y6" s="278">
        <v>0.16</v>
      </c>
      <c r="Z6" t="s">
        <v>746</v>
      </c>
    </row>
    <row r="7" spans="1:31">
      <c r="E7" s="329" t="s">
        <v>775</v>
      </c>
      <c r="F7" s="1" t="s">
        <v>430</v>
      </c>
      <c r="G7" t="s">
        <v>390</v>
      </c>
      <c r="H7" s="81">
        <v>60</v>
      </c>
      <c r="J7" s="1" t="s">
        <v>441</v>
      </c>
      <c r="K7" t="s">
        <v>64</v>
      </c>
      <c r="L7" s="81">
        <v>1700</v>
      </c>
      <c r="N7" s="1" t="s">
        <v>437</v>
      </c>
      <c r="O7" t="s">
        <v>427</v>
      </c>
      <c r="P7" s="1" t="s">
        <v>79</v>
      </c>
      <c r="Q7" s="81">
        <v>500</v>
      </c>
      <c r="R7" s="345">
        <v>9439.74</v>
      </c>
      <c r="S7" t="s">
        <v>747</v>
      </c>
      <c r="U7" s="1" t="s">
        <v>431</v>
      </c>
      <c r="V7" t="s">
        <v>430</v>
      </c>
      <c r="W7" t="s">
        <v>750</v>
      </c>
      <c r="X7">
        <v>1</v>
      </c>
      <c r="Y7" s="278">
        <v>0.16</v>
      </c>
      <c r="Z7" t="s">
        <v>746</v>
      </c>
    </row>
    <row r="8" spans="1:31">
      <c r="B8" t="s">
        <v>243</v>
      </c>
      <c r="E8" s="329" t="s">
        <v>775</v>
      </c>
      <c r="F8" s="1" t="s">
        <v>430</v>
      </c>
      <c r="G8" t="s">
        <v>391</v>
      </c>
      <c r="H8" s="81">
        <v>60</v>
      </c>
      <c r="N8" s="1" t="s">
        <v>437</v>
      </c>
      <c r="O8" t="s">
        <v>427</v>
      </c>
      <c r="P8" s="1" t="s">
        <v>80</v>
      </c>
      <c r="Q8" s="81">
        <v>640</v>
      </c>
      <c r="R8" s="345">
        <v>12326.29</v>
      </c>
      <c r="S8" t="s">
        <v>747</v>
      </c>
      <c r="U8" s="1" t="s">
        <v>432</v>
      </c>
      <c r="V8" t="s">
        <v>431</v>
      </c>
      <c r="W8" t="s">
        <v>751</v>
      </c>
      <c r="X8">
        <v>1</v>
      </c>
      <c r="Y8" s="278">
        <v>0.16</v>
      </c>
      <c r="Z8" t="s">
        <v>746</v>
      </c>
    </row>
    <row r="9" spans="1:31">
      <c r="B9" t="s">
        <v>244</v>
      </c>
      <c r="E9" s="329" t="s">
        <v>775</v>
      </c>
      <c r="F9" s="1" t="s">
        <v>430</v>
      </c>
      <c r="G9" t="s">
        <v>392</v>
      </c>
      <c r="H9" s="81">
        <v>75</v>
      </c>
      <c r="K9" s="16" t="s">
        <v>66</v>
      </c>
      <c r="N9" s="1" t="s">
        <v>437</v>
      </c>
      <c r="O9" t="s">
        <v>427</v>
      </c>
      <c r="P9" s="1" t="s">
        <v>81</v>
      </c>
      <c r="Q9" s="81">
        <v>610</v>
      </c>
      <c r="R9" s="345">
        <v>11842.6</v>
      </c>
      <c r="S9" t="s">
        <v>747</v>
      </c>
      <c r="U9" s="1" t="s">
        <v>433</v>
      </c>
      <c r="V9" t="s">
        <v>432</v>
      </c>
      <c r="W9" t="s">
        <v>752</v>
      </c>
      <c r="X9">
        <v>1</v>
      </c>
      <c r="Y9" s="278">
        <v>0.16</v>
      </c>
      <c r="Z9" t="s">
        <v>746</v>
      </c>
    </row>
    <row r="10" spans="1:31">
      <c r="A10" s="1" t="s">
        <v>433</v>
      </c>
      <c r="B10" t="s">
        <v>242</v>
      </c>
      <c r="C10" s="81">
        <v>1000</v>
      </c>
      <c r="E10" s="329" t="s">
        <v>775</v>
      </c>
      <c r="F10" s="1" t="s">
        <v>430</v>
      </c>
      <c r="G10" t="s">
        <v>393</v>
      </c>
      <c r="H10" s="81">
        <v>65</v>
      </c>
      <c r="K10" t="s">
        <v>864</v>
      </c>
      <c r="N10" s="1" t="s">
        <v>437</v>
      </c>
      <c r="O10" t="s">
        <v>427</v>
      </c>
      <c r="P10" s="1" t="s">
        <v>82</v>
      </c>
      <c r="Q10" s="81">
        <v>900</v>
      </c>
      <c r="R10" s="345">
        <v>17007.150000000001</v>
      </c>
      <c r="S10" t="s">
        <v>747</v>
      </c>
      <c r="U10" s="1" t="s">
        <v>434</v>
      </c>
      <c r="V10" t="s">
        <v>433</v>
      </c>
      <c r="W10" t="s">
        <v>753</v>
      </c>
      <c r="X10">
        <v>1</v>
      </c>
      <c r="Y10" s="278">
        <v>0.16</v>
      </c>
      <c r="Z10" t="s">
        <v>746</v>
      </c>
    </row>
    <row r="11" spans="1:31">
      <c r="B11" t="s">
        <v>7</v>
      </c>
      <c r="E11" s="329" t="s">
        <v>775</v>
      </c>
      <c r="F11" s="1" t="s">
        <v>430</v>
      </c>
      <c r="G11" t="s">
        <v>394</v>
      </c>
      <c r="H11" s="81">
        <v>60</v>
      </c>
      <c r="K11" t="s">
        <v>865</v>
      </c>
      <c r="N11" s="1" t="s">
        <v>437</v>
      </c>
      <c r="O11" t="s">
        <v>427</v>
      </c>
      <c r="P11" s="1" t="s">
        <v>83</v>
      </c>
      <c r="Q11" s="81">
        <v>720</v>
      </c>
      <c r="R11" s="345">
        <v>13558.92</v>
      </c>
      <c r="S11" t="s">
        <v>747</v>
      </c>
      <c r="U11" s="1" t="s">
        <v>435</v>
      </c>
      <c r="V11" t="s">
        <v>434</v>
      </c>
      <c r="W11" t="s">
        <v>754</v>
      </c>
      <c r="X11">
        <v>1</v>
      </c>
      <c r="Y11" s="278">
        <v>0.16</v>
      </c>
      <c r="Z11" t="s">
        <v>746</v>
      </c>
    </row>
    <row r="12" spans="1:31">
      <c r="B12" t="s">
        <v>248</v>
      </c>
      <c r="E12" s="329" t="s">
        <v>775</v>
      </c>
      <c r="F12" s="1" t="s">
        <v>430</v>
      </c>
      <c r="G12" t="s">
        <v>395</v>
      </c>
      <c r="H12" s="81">
        <v>55</v>
      </c>
      <c r="K12" t="s">
        <v>866</v>
      </c>
      <c r="N12" s="1" t="s">
        <v>437</v>
      </c>
      <c r="O12" t="s">
        <v>427</v>
      </c>
      <c r="P12" s="1" t="s">
        <v>84</v>
      </c>
      <c r="Q12" s="81">
        <v>720</v>
      </c>
      <c r="R12" s="345">
        <v>13558.92</v>
      </c>
      <c r="S12" t="s">
        <v>747</v>
      </c>
      <c r="U12" s="1" t="s">
        <v>436</v>
      </c>
      <c r="V12" t="s">
        <v>435</v>
      </c>
      <c r="W12" t="s">
        <v>755</v>
      </c>
      <c r="X12">
        <v>1</v>
      </c>
      <c r="Y12" s="278">
        <v>0.16</v>
      </c>
      <c r="Z12" t="s">
        <v>746</v>
      </c>
    </row>
    <row r="13" spans="1:31">
      <c r="B13" t="s">
        <v>249</v>
      </c>
      <c r="E13" s="329" t="s">
        <v>775</v>
      </c>
      <c r="F13" s="1" t="s">
        <v>430</v>
      </c>
      <c r="G13" t="s">
        <v>396</v>
      </c>
      <c r="H13" s="81">
        <v>50</v>
      </c>
      <c r="K13" t="s">
        <v>867</v>
      </c>
      <c r="N13" s="1" t="s">
        <v>437</v>
      </c>
      <c r="O13" t="s">
        <v>427</v>
      </c>
      <c r="P13" s="1" t="s">
        <v>85</v>
      </c>
      <c r="Q13" s="81">
        <v>720</v>
      </c>
      <c r="R13" s="345">
        <v>13558.92</v>
      </c>
      <c r="S13" t="s">
        <v>747</v>
      </c>
      <c r="U13" s="1" t="s">
        <v>437</v>
      </c>
      <c r="V13" t="s">
        <v>436</v>
      </c>
      <c r="W13" t="s">
        <v>756</v>
      </c>
      <c r="X13">
        <v>1</v>
      </c>
      <c r="Y13" s="278">
        <v>0.16</v>
      </c>
      <c r="Z13" t="s">
        <v>746</v>
      </c>
    </row>
    <row r="14" spans="1:31">
      <c r="E14" s="329" t="s">
        <v>775</v>
      </c>
      <c r="F14" s="1" t="s">
        <v>430</v>
      </c>
      <c r="G14" t="s">
        <v>397</v>
      </c>
      <c r="H14" s="81">
        <v>40</v>
      </c>
      <c r="K14" t="s">
        <v>868</v>
      </c>
      <c r="N14" s="1" t="s">
        <v>437</v>
      </c>
      <c r="O14" t="s">
        <v>427</v>
      </c>
      <c r="P14" s="1" t="s">
        <v>87</v>
      </c>
      <c r="Q14" s="81">
        <v>960</v>
      </c>
      <c r="R14" s="345">
        <v>18567.439999999999</v>
      </c>
      <c r="S14" t="s">
        <v>747</v>
      </c>
      <c r="U14" s="1" t="s">
        <v>438</v>
      </c>
      <c r="V14" t="s">
        <v>437</v>
      </c>
      <c r="W14" t="s">
        <v>757</v>
      </c>
      <c r="X14">
        <v>1</v>
      </c>
      <c r="Y14" s="278">
        <v>0.16</v>
      </c>
      <c r="Z14" t="s">
        <v>746</v>
      </c>
    </row>
    <row r="15" spans="1:31">
      <c r="B15" t="s">
        <v>96</v>
      </c>
      <c r="E15" s="329" t="s">
        <v>775</v>
      </c>
      <c r="F15" s="1" t="s">
        <v>430</v>
      </c>
      <c r="G15" t="s">
        <v>398</v>
      </c>
      <c r="H15" s="81">
        <v>40</v>
      </c>
      <c r="K15" t="s">
        <v>413</v>
      </c>
      <c r="N15" s="1" t="s">
        <v>437</v>
      </c>
      <c r="O15" t="s">
        <v>427</v>
      </c>
      <c r="P15" s="1" t="s">
        <v>86</v>
      </c>
      <c r="Q15" s="81">
        <v>1050</v>
      </c>
      <c r="R15" s="345">
        <v>20126.099999999999</v>
      </c>
      <c r="S15" t="s">
        <v>747</v>
      </c>
      <c r="U15" s="1" t="s">
        <v>439</v>
      </c>
      <c r="V15" t="s">
        <v>438</v>
      </c>
      <c r="W15" t="s">
        <v>758</v>
      </c>
      <c r="X15">
        <v>1</v>
      </c>
      <c r="Y15" s="278">
        <v>0.16</v>
      </c>
      <c r="Z15" t="s">
        <v>746</v>
      </c>
    </row>
    <row r="16" spans="1:31">
      <c r="A16" s="1" t="s">
        <v>439</v>
      </c>
      <c r="B16" t="s">
        <v>97</v>
      </c>
      <c r="C16" s="81">
        <v>350</v>
      </c>
      <c r="D16" s="364">
        <v>2884.62</v>
      </c>
      <c r="E16" s="329" t="s">
        <v>775</v>
      </c>
      <c r="F16" s="1" t="s">
        <v>430</v>
      </c>
      <c r="G16" t="s">
        <v>399</v>
      </c>
      <c r="H16" s="81">
        <v>40</v>
      </c>
      <c r="N16" s="1" t="s">
        <v>437</v>
      </c>
      <c r="O16" t="s">
        <v>427</v>
      </c>
      <c r="P16" s="1" t="s">
        <v>88</v>
      </c>
      <c r="Q16" s="81">
        <v>1050</v>
      </c>
      <c r="R16" s="345">
        <v>20127.73</v>
      </c>
      <c r="S16" t="s">
        <v>747</v>
      </c>
      <c r="U16" s="1" t="s">
        <v>440</v>
      </c>
      <c r="V16" t="s">
        <v>439</v>
      </c>
      <c r="W16" t="s">
        <v>759</v>
      </c>
      <c r="X16">
        <v>1</v>
      </c>
      <c r="Y16" s="278">
        <v>0.16</v>
      </c>
      <c r="Z16" t="s">
        <v>746</v>
      </c>
    </row>
    <row r="17" spans="1:26">
      <c r="B17" t="s">
        <v>98</v>
      </c>
      <c r="E17" s="329" t="s">
        <v>775</v>
      </c>
      <c r="F17" s="1" t="s">
        <v>430</v>
      </c>
      <c r="G17" t="s">
        <v>400</v>
      </c>
      <c r="H17" s="81">
        <v>55</v>
      </c>
      <c r="N17" s="1" t="s">
        <v>437</v>
      </c>
      <c r="O17" t="s">
        <v>427</v>
      </c>
      <c r="P17" s="1" t="s">
        <v>89</v>
      </c>
      <c r="Q17" s="81">
        <v>1400</v>
      </c>
      <c r="R17" s="345">
        <v>26368.9</v>
      </c>
      <c r="S17" t="s">
        <v>747</v>
      </c>
      <c r="U17" s="1" t="s">
        <v>441</v>
      </c>
      <c r="V17" t="s">
        <v>440</v>
      </c>
      <c r="W17" t="s">
        <v>760</v>
      </c>
      <c r="X17">
        <v>1</v>
      </c>
      <c r="Y17" s="278">
        <v>0.16</v>
      </c>
      <c r="Z17" t="s">
        <v>746</v>
      </c>
    </row>
    <row r="18" spans="1:26">
      <c r="A18" s="1" t="s">
        <v>433</v>
      </c>
      <c r="B18" s="1" t="s">
        <v>201</v>
      </c>
      <c r="C18" s="81">
        <v>1270</v>
      </c>
      <c r="D18" s="363">
        <v>13800</v>
      </c>
      <c r="E18" s="329" t="s">
        <v>775</v>
      </c>
      <c r="F18" s="1" t="s">
        <v>430</v>
      </c>
      <c r="G18" t="s">
        <v>401</v>
      </c>
      <c r="H18" s="81">
        <v>65</v>
      </c>
      <c r="K18" s="16" t="s">
        <v>67</v>
      </c>
      <c r="N18" s="1" t="s">
        <v>437</v>
      </c>
      <c r="O18" t="s">
        <v>427</v>
      </c>
      <c r="P18" s="1" t="s">
        <v>90</v>
      </c>
      <c r="Q18" s="81">
        <v>1400</v>
      </c>
      <c r="R18" s="345">
        <v>26368.9</v>
      </c>
      <c r="S18" t="s">
        <v>747</v>
      </c>
      <c r="U18" s="1" t="s">
        <v>442</v>
      </c>
      <c r="V18" t="s">
        <v>441</v>
      </c>
      <c r="W18" t="s">
        <v>761</v>
      </c>
      <c r="X18">
        <v>1</v>
      </c>
      <c r="Y18" s="278">
        <v>0.16</v>
      </c>
      <c r="Z18" t="s">
        <v>746</v>
      </c>
    </row>
    <row r="19" spans="1:26">
      <c r="E19" s="329" t="s">
        <v>775</v>
      </c>
      <c r="F19" s="1" t="s">
        <v>430</v>
      </c>
      <c r="G19" t="s">
        <v>402</v>
      </c>
      <c r="H19" s="81">
        <v>55</v>
      </c>
      <c r="K19" t="s">
        <v>69</v>
      </c>
      <c r="N19" s="1" t="s">
        <v>437</v>
      </c>
      <c r="O19" t="s">
        <v>427</v>
      </c>
      <c r="P19" s="1" t="s">
        <v>91</v>
      </c>
      <c r="Q19" s="81">
        <v>1600</v>
      </c>
      <c r="R19" s="345">
        <v>31049.74</v>
      </c>
      <c r="S19" t="s">
        <v>747</v>
      </c>
      <c r="U19" s="1" t="s">
        <v>443</v>
      </c>
      <c r="V19" t="s">
        <v>442</v>
      </c>
      <c r="W19" t="s">
        <v>762</v>
      </c>
      <c r="X19">
        <v>1</v>
      </c>
      <c r="Y19" s="278">
        <v>0.16</v>
      </c>
      <c r="Z19" t="s">
        <v>746</v>
      </c>
    </row>
    <row r="20" spans="1:26">
      <c r="E20" s="329" t="s">
        <v>775</v>
      </c>
      <c r="F20" s="1" t="s">
        <v>430</v>
      </c>
      <c r="G20" t="s">
        <v>403</v>
      </c>
      <c r="H20" s="81">
        <v>60</v>
      </c>
      <c r="K20" t="s">
        <v>70</v>
      </c>
      <c r="N20" s="1" t="s">
        <v>437</v>
      </c>
      <c r="O20" t="s">
        <v>427</v>
      </c>
      <c r="P20" s="1" t="s">
        <v>92</v>
      </c>
      <c r="Q20" s="81">
        <v>1100</v>
      </c>
      <c r="R20" s="345">
        <v>20127.73</v>
      </c>
      <c r="S20" t="s">
        <v>747</v>
      </c>
      <c r="U20" s="1" t="s">
        <v>444</v>
      </c>
      <c r="V20" t="s">
        <v>443</v>
      </c>
      <c r="W20" t="s">
        <v>763</v>
      </c>
      <c r="X20">
        <v>1</v>
      </c>
      <c r="Y20" s="278">
        <v>0.16</v>
      </c>
      <c r="Z20" t="s">
        <v>746</v>
      </c>
    </row>
    <row r="21" spans="1:26">
      <c r="B21" t="s">
        <v>239</v>
      </c>
      <c r="E21" s="329" t="s">
        <v>775</v>
      </c>
      <c r="F21" s="1" t="s">
        <v>430</v>
      </c>
      <c r="G21" t="s">
        <v>308</v>
      </c>
      <c r="H21" s="81">
        <v>40</v>
      </c>
      <c r="K21" t="s">
        <v>384</v>
      </c>
      <c r="N21" s="1" t="s">
        <v>437</v>
      </c>
      <c r="O21" t="s">
        <v>427</v>
      </c>
      <c r="P21" s="1" t="s">
        <v>93</v>
      </c>
      <c r="Q21" s="81">
        <v>1360</v>
      </c>
      <c r="R21" s="345">
        <v>26368.9</v>
      </c>
      <c r="S21" t="s">
        <v>747</v>
      </c>
      <c r="U21" s="22" t="s">
        <v>445</v>
      </c>
      <c r="V21" t="s">
        <v>444</v>
      </c>
      <c r="W21" t="s">
        <v>764</v>
      </c>
      <c r="X21">
        <v>1</v>
      </c>
      <c r="Y21" s="278">
        <v>0.16</v>
      </c>
      <c r="Z21" t="s">
        <v>746</v>
      </c>
    </row>
    <row r="22" spans="1:26">
      <c r="B22" t="s">
        <v>240</v>
      </c>
      <c r="E22" s="329" t="s">
        <v>775</v>
      </c>
      <c r="F22" s="1" t="s">
        <v>430</v>
      </c>
      <c r="G22" t="s">
        <v>309</v>
      </c>
      <c r="H22" s="81">
        <v>25</v>
      </c>
      <c r="K22" t="s">
        <v>71</v>
      </c>
      <c r="N22" s="1" t="s">
        <v>437</v>
      </c>
      <c r="O22" t="s">
        <v>427</v>
      </c>
      <c r="P22" s="1" t="s">
        <v>94</v>
      </c>
      <c r="Q22" s="81">
        <v>700</v>
      </c>
      <c r="R22" s="345">
        <v>13558.92</v>
      </c>
      <c r="S22" t="s">
        <v>747</v>
      </c>
      <c r="U22" s="22" t="s">
        <v>446</v>
      </c>
      <c r="V22" s="279" t="s">
        <v>445</v>
      </c>
      <c r="W22" s="279" t="s">
        <v>765</v>
      </c>
      <c r="X22" s="279">
        <v>1</v>
      </c>
      <c r="Y22" s="280">
        <v>0.16</v>
      </c>
      <c r="Z22" s="279" t="s">
        <v>746</v>
      </c>
    </row>
    <row r="23" spans="1:26">
      <c r="B23" t="s">
        <v>241</v>
      </c>
      <c r="E23" s="329" t="s">
        <v>775</v>
      </c>
      <c r="F23" s="1" t="s">
        <v>430</v>
      </c>
      <c r="G23" t="s">
        <v>312</v>
      </c>
      <c r="H23" s="81">
        <v>7</v>
      </c>
      <c r="K23" t="s">
        <v>869</v>
      </c>
      <c r="N23" s="1" t="s">
        <v>437</v>
      </c>
      <c r="O23" t="s">
        <v>427</v>
      </c>
      <c r="P23" s="1" t="s">
        <v>95</v>
      </c>
      <c r="Q23" s="81">
        <v>880</v>
      </c>
      <c r="R23" s="345">
        <v>17007.150000000001</v>
      </c>
      <c r="S23" t="s">
        <v>747</v>
      </c>
      <c r="V23" s="279" t="s">
        <v>446</v>
      </c>
      <c r="W23" s="279" t="s">
        <v>737</v>
      </c>
      <c r="X23" s="279">
        <v>1</v>
      </c>
      <c r="Y23" s="280">
        <v>0.16</v>
      </c>
      <c r="Z23" s="279" t="s">
        <v>746</v>
      </c>
    </row>
    <row r="24" spans="1:26">
      <c r="A24" s="1" t="s">
        <v>433</v>
      </c>
      <c r="B24" t="s">
        <v>242</v>
      </c>
      <c r="C24" s="81">
        <v>1000</v>
      </c>
      <c r="E24" s="329" t="s">
        <v>775</v>
      </c>
      <c r="F24" s="1" t="s">
        <v>430</v>
      </c>
      <c r="G24" t="s">
        <v>311</v>
      </c>
      <c r="H24" s="81">
        <v>10</v>
      </c>
      <c r="K24" s="16" t="s">
        <v>68</v>
      </c>
      <c r="N24" s="1" t="s">
        <v>437</v>
      </c>
      <c r="O24" t="s">
        <v>427</v>
      </c>
      <c r="P24" s="1" t="s">
        <v>74</v>
      </c>
      <c r="Q24" s="81">
        <v>2010</v>
      </c>
      <c r="R24" s="345">
        <v>39007.230000000003</v>
      </c>
      <c r="S24" t="s">
        <v>747</v>
      </c>
    </row>
    <row r="25" spans="1:26">
      <c r="E25" s="329" t="s">
        <v>775</v>
      </c>
      <c r="F25" s="1" t="s">
        <v>430</v>
      </c>
      <c r="G25" t="s">
        <v>313</v>
      </c>
      <c r="H25" s="81">
        <v>120</v>
      </c>
      <c r="K25" t="s">
        <v>65</v>
      </c>
      <c r="N25" s="1" t="s">
        <v>437</v>
      </c>
      <c r="O25" t="s">
        <v>427</v>
      </c>
      <c r="P25" s="1" t="s">
        <v>75</v>
      </c>
      <c r="Q25" s="81">
        <v>1550</v>
      </c>
      <c r="R25" s="345">
        <v>29488.97</v>
      </c>
      <c r="S25" t="s">
        <v>747</v>
      </c>
      <c r="U25" t="s">
        <v>626</v>
      </c>
    </row>
    <row r="26" spans="1:26">
      <c r="A26" s="1" t="s">
        <v>433</v>
      </c>
      <c r="B26" t="s">
        <v>423</v>
      </c>
      <c r="C26" s="81">
        <v>4</v>
      </c>
      <c r="E26" s="329" t="s">
        <v>775</v>
      </c>
      <c r="F26" s="1" t="s">
        <v>430</v>
      </c>
      <c r="G26" t="s">
        <v>314</v>
      </c>
      <c r="H26" s="81">
        <v>10</v>
      </c>
      <c r="J26" s="1" t="s">
        <v>441</v>
      </c>
      <c r="K26" t="s">
        <v>870</v>
      </c>
      <c r="L26" s="81">
        <v>1700</v>
      </c>
      <c r="N26" s="1" t="s">
        <v>437</v>
      </c>
      <c r="O26" t="s">
        <v>427</v>
      </c>
      <c r="P26" s="1" t="s">
        <v>349</v>
      </c>
      <c r="S26" t="s">
        <v>747</v>
      </c>
      <c r="U26" t="s">
        <v>277</v>
      </c>
    </row>
    <row r="27" spans="1:26">
      <c r="E27" s="329" t="s">
        <v>775</v>
      </c>
      <c r="F27" s="1" t="s">
        <v>430</v>
      </c>
      <c r="G27" t="s">
        <v>315</v>
      </c>
      <c r="H27" s="81">
        <v>7</v>
      </c>
      <c r="K27" t="s">
        <v>871</v>
      </c>
      <c r="N27" s="1" t="s">
        <v>432</v>
      </c>
      <c r="O27" s="1" t="s">
        <v>102</v>
      </c>
      <c r="P27" s="1" t="s">
        <v>143</v>
      </c>
      <c r="Q27" s="81">
        <v>350</v>
      </c>
      <c r="R27" s="365">
        <v>4099.2</v>
      </c>
      <c r="S27" t="s">
        <v>747</v>
      </c>
      <c r="U27" t="s">
        <v>278</v>
      </c>
    </row>
    <row r="28" spans="1:26">
      <c r="B28" t="s">
        <v>253</v>
      </c>
      <c r="C28" s="68" t="s">
        <v>572</v>
      </c>
      <c r="E28" s="329" t="s">
        <v>775</v>
      </c>
      <c r="F28" s="1" t="s">
        <v>430</v>
      </c>
      <c r="G28" t="s">
        <v>316</v>
      </c>
      <c r="H28" s="81">
        <v>5</v>
      </c>
      <c r="K28" t="s">
        <v>869</v>
      </c>
      <c r="N28" s="1" t="s">
        <v>432</v>
      </c>
      <c r="O28" s="1" t="s">
        <v>102</v>
      </c>
      <c r="P28" s="1" t="s">
        <v>144</v>
      </c>
      <c r="Q28" s="81">
        <v>820</v>
      </c>
      <c r="R28" s="365">
        <v>9723</v>
      </c>
      <c r="S28" t="s">
        <v>747</v>
      </c>
      <c r="U28" t="s">
        <v>279</v>
      </c>
    </row>
    <row r="29" spans="1:26">
      <c r="B29" t="s">
        <v>254</v>
      </c>
      <c r="C29" s="68" t="s">
        <v>574</v>
      </c>
      <c r="E29" s="329" t="s">
        <v>775</v>
      </c>
      <c r="F29" s="1" t="s">
        <v>430</v>
      </c>
      <c r="G29" t="s">
        <v>317</v>
      </c>
      <c r="H29" s="81">
        <v>5</v>
      </c>
      <c r="K29" t="s">
        <v>72</v>
      </c>
      <c r="N29" s="1" t="s">
        <v>432</v>
      </c>
      <c r="O29" s="1" t="s">
        <v>102</v>
      </c>
      <c r="P29" s="1" t="s">
        <v>145</v>
      </c>
      <c r="Q29" s="81">
        <v>1150</v>
      </c>
      <c r="R29" s="365">
        <v>12665.1</v>
      </c>
      <c r="S29" t="s">
        <v>747</v>
      </c>
      <c r="U29" t="s">
        <v>280</v>
      </c>
    </row>
    <row r="30" spans="1:26">
      <c r="E30" s="329" t="s">
        <v>775</v>
      </c>
      <c r="F30" s="1" t="s">
        <v>430</v>
      </c>
      <c r="G30" t="s">
        <v>318</v>
      </c>
      <c r="H30" s="81">
        <v>5</v>
      </c>
      <c r="N30" s="1" t="s">
        <v>432</v>
      </c>
      <c r="O30" s="1" t="s">
        <v>102</v>
      </c>
      <c r="P30" s="1" t="s">
        <v>146</v>
      </c>
      <c r="Q30" s="81">
        <v>1300</v>
      </c>
      <c r="R30" s="365">
        <v>14714.7</v>
      </c>
      <c r="S30" t="s">
        <v>747</v>
      </c>
      <c r="U30" t="s">
        <v>281</v>
      </c>
    </row>
    <row r="31" spans="1:26">
      <c r="B31" t="s">
        <v>250</v>
      </c>
      <c r="C31" s="68" t="s">
        <v>577</v>
      </c>
      <c r="E31" s="329" t="s">
        <v>775</v>
      </c>
      <c r="F31" s="1" t="s">
        <v>430</v>
      </c>
      <c r="G31" t="s">
        <v>319</v>
      </c>
      <c r="H31" s="81">
        <v>7.5</v>
      </c>
      <c r="N31" s="1" t="s">
        <v>432</v>
      </c>
      <c r="O31" s="1" t="s">
        <v>102</v>
      </c>
      <c r="P31" s="1" t="s">
        <v>406</v>
      </c>
      <c r="S31" t="s">
        <v>747</v>
      </c>
      <c r="U31" t="s">
        <v>604</v>
      </c>
    </row>
    <row r="32" spans="1:26">
      <c r="B32" t="s">
        <v>251</v>
      </c>
      <c r="C32" s="68" t="s">
        <v>578</v>
      </c>
      <c r="E32" s="329" t="s">
        <v>775</v>
      </c>
      <c r="F32" s="1" t="s">
        <v>430</v>
      </c>
      <c r="G32" t="s">
        <v>320</v>
      </c>
      <c r="H32" s="81">
        <v>5</v>
      </c>
      <c r="N32" s="1" t="s">
        <v>432</v>
      </c>
      <c r="O32" s="1" t="s">
        <v>102</v>
      </c>
      <c r="P32" s="1" t="s">
        <v>147</v>
      </c>
      <c r="Q32" s="81">
        <v>175</v>
      </c>
      <c r="R32" s="365">
        <v>1864.8</v>
      </c>
      <c r="S32" t="s">
        <v>747</v>
      </c>
      <c r="U32" t="s">
        <v>282</v>
      </c>
    </row>
    <row r="33" spans="2:21">
      <c r="B33" t="s">
        <v>252</v>
      </c>
      <c r="C33" s="68" t="s">
        <v>576</v>
      </c>
      <c r="E33" s="329" t="s">
        <v>775</v>
      </c>
      <c r="F33" s="1" t="s">
        <v>430</v>
      </c>
      <c r="G33" t="s">
        <v>321</v>
      </c>
      <c r="H33" s="81">
        <v>10</v>
      </c>
      <c r="J33" s="1" t="s">
        <v>444</v>
      </c>
      <c r="K33" t="s">
        <v>417</v>
      </c>
      <c r="L33" s="81">
        <v>600</v>
      </c>
      <c r="N33" s="1" t="s">
        <v>432</v>
      </c>
      <c r="O33" s="1" t="s">
        <v>102</v>
      </c>
      <c r="P33" s="1" t="s">
        <v>351</v>
      </c>
      <c r="Q33" s="81"/>
      <c r="S33" t="s">
        <v>747</v>
      </c>
      <c r="U33" t="s">
        <v>283</v>
      </c>
    </row>
    <row r="34" spans="2:21">
      <c r="C34" s="68" t="s">
        <v>575</v>
      </c>
      <c r="E34" s="329" t="s">
        <v>775</v>
      </c>
      <c r="F34" s="1" t="s">
        <v>430</v>
      </c>
      <c r="G34" t="s">
        <v>322</v>
      </c>
      <c r="H34" s="81">
        <v>8</v>
      </c>
      <c r="J34" s="1" t="s">
        <v>433</v>
      </c>
      <c r="K34" t="s">
        <v>418</v>
      </c>
      <c r="L34" s="81">
        <v>600</v>
      </c>
      <c r="N34" s="1" t="s">
        <v>432</v>
      </c>
      <c r="O34" s="1" t="s">
        <v>102</v>
      </c>
      <c r="P34" s="1" t="s">
        <v>104</v>
      </c>
      <c r="Q34" s="81">
        <v>95</v>
      </c>
      <c r="R34" s="365">
        <v>1100</v>
      </c>
      <c r="S34" t="s">
        <v>747</v>
      </c>
      <c r="U34" t="s">
        <v>627</v>
      </c>
    </row>
    <row r="35" spans="2:21">
      <c r="B35">
        <v>1</v>
      </c>
      <c r="C35" s="68" t="s">
        <v>570</v>
      </c>
      <c r="E35" s="329" t="s">
        <v>775</v>
      </c>
      <c r="F35" s="1" t="s">
        <v>430</v>
      </c>
      <c r="G35" t="s">
        <v>323</v>
      </c>
      <c r="H35" s="81">
        <v>5</v>
      </c>
      <c r="K35" t="s">
        <v>263</v>
      </c>
      <c r="N35" s="1" t="s">
        <v>432</v>
      </c>
      <c r="O35" s="1" t="s">
        <v>102</v>
      </c>
      <c r="P35" s="1" t="s">
        <v>103</v>
      </c>
      <c r="Q35" s="81">
        <v>230</v>
      </c>
      <c r="R35" s="365">
        <v>2750</v>
      </c>
      <c r="S35" t="s">
        <v>747</v>
      </c>
      <c r="U35" t="s">
        <v>284</v>
      </c>
    </row>
    <row r="36" spans="2:21">
      <c r="B36">
        <v>2</v>
      </c>
      <c r="C36" s="68" t="s">
        <v>571</v>
      </c>
      <c r="E36" s="329" t="s">
        <v>775</v>
      </c>
      <c r="F36" s="1" t="s">
        <v>430</v>
      </c>
      <c r="G36" t="s">
        <v>324</v>
      </c>
      <c r="H36" s="81">
        <v>2</v>
      </c>
      <c r="N36" s="1" t="s">
        <v>432</v>
      </c>
      <c r="O36" s="1" t="s">
        <v>102</v>
      </c>
      <c r="P36" s="1" t="s">
        <v>148</v>
      </c>
      <c r="Q36" s="81">
        <v>480</v>
      </c>
      <c r="R36" s="365">
        <v>5717.25</v>
      </c>
      <c r="S36" t="s">
        <v>747</v>
      </c>
      <c r="U36" t="s">
        <v>285</v>
      </c>
    </row>
    <row r="37" spans="2:21">
      <c r="B37">
        <v>3</v>
      </c>
      <c r="C37" s="68" t="s">
        <v>572</v>
      </c>
      <c r="E37" s="329" t="s">
        <v>775</v>
      </c>
      <c r="F37" s="1" t="s">
        <v>430</v>
      </c>
      <c r="G37" t="s">
        <v>325</v>
      </c>
      <c r="H37" s="81">
        <v>90</v>
      </c>
      <c r="J37" s="1"/>
      <c r="L37" s="81"/>
      <c r="N37" s="1" t="s">
        <v>432</v>
      </c>
      <c r="O37" s="1" t="s">
        <v>102</v>
      </c>
      <c r="P37" s="1" t="s">
        <v>149</v>
      </c>
      <c r="Q37" s="81">
        <v>850</v>
      </c>
      <c r="R37" s="365">
        <v>10164</v>
      </c>
      <c r="S37" t="s">
        <v>747</v>
      </c>
      <c r="U37" t="s">
        <v>286</v>
      </c>
    </row>
    <row r="38" spans="2:21">
      <c r="B38">
        <v>4</v>
      </c>
      <c r="C38" s="68" t="s">
        <v>573</v>
      </c>
      <c r="E38" s="329" t="s">
        <v>775</v>
      </c>
      <c r="F38" s="1" t="s">
        <v>430</v>
      </c>
      <c r="G38" t="s">
        <v>326</v>
      </c>
      <c r="H38" s="81">
        <v>150</v>
      </c>
      <c r="J38" s="1" t="s">
        <v>444</v>
      </c>
      <c r="K38" t="s">
        <v>602</v>
      </c>
      <c r="L38" s="81">
        <v>500</v>
      </c>
      <c r="N38" s="1" t="s">
        <v>432</v>
      </c>
      <c r="O38" s="1" t="s">
        <v>102</v>
      </c>
      <c r="P38" s="1" t="s">
        <v>150</v>
      </c>
      <c r="Q38" s="81">
        <v>1350</v>
      </c>
      <c r="R38" s="365">
        <v>15881.25</v>
      </c>
      <c r="S38" t="s">
        <v>747</v>
      </c>
      <c r="U38" t="s">
        <v>287</v>
      </c>
    </row>
    <row r="39" spans="2:21">
      <c r="B39">
        <v>5</v>
      </c>
      <c r="C39" s="68" t="s">
        <v>574</v>
      </c>
      <c r="E39" s="329" t="s">
        <v>775</v>
      </c>
      <c r="F39" s="1" t="s">
        <v>430</v>
      </c>
      <c r="G39" t="s">
        <v>327</v>
      </c>
      <c r="H39" s="81">
        <v>250</v>
      </c>
      <c r="J39" s="1" t="s">
        <v>433</v>
      </c>
      <c r="K39" t="s">
        <v>603</v>
      </c>
      <c r="L39" s="81">
        <v>500</v>
      </c>
      <c r="N39" s="1" t="s">
        <v>432</v>
      </c>
      <c r="O39" s="1" t="s">
        <v>102</v>
      </c>
      <c r="P39" s="1" t="s">
        <v>151</v>
      </c>
      <c r="Q39" s="81">
        <v>400</v>
      </c>
      <c r="R39" s="365">
        <v>4554</v>
      </c>
      <c r="S39" t="s">
        <v>747</v>
      </c>
      <c r="U39" t="s">
        <v>288</v>
      </c>
    </row>
    <row r="40" spans="2:21">
      <c r="B40">
        <v>6</v>
      </c>
      <c r="C40" s="68" t="s">
        <v>564</v>
      </c>
      <c r="E40" s="329" t="s">
        <v>775</v>
      </c>
      <c r="F40" s="1" t="s">
        <v>430</v>
      </c>
      <c r="G40" t="s">
        <v>328</v>
      </c>
      <c r="H40" s="81">
        <v>300</v>
      </c>
      <c r="N40" s="1" t="s">
        <v>432</v>
      </c>
      <c r="O40" s="1" t="s">
        <v>102</v>
      </c>
      <c r="P40" s="1" t="s">
        <v>152</v>
      </c>
      <c r="Q40" s="81">
        <v>675</v>
      </c>
      <c r="R40" s="365">
        <v>8096</v>
      </c>
      <c r="S40" t="s">
        <v>747</v>
      </c>
      <c r="U40" t="s">
        <v>289</v>
      </c>
    </row>
    <row r="41" spans="2:21">
      <c r="C41" s="68" t="s">
        <v>565</v>
      </c>
      <c r="E41" s="329" t="s">
        <v>775</v>
      </c>
      <c r="F41" s="1" t="s">
        <v>430</v>
      </c>
      <c r="G41" t="s">
        <v>329</v>
      </c>
      <c r="H41" s="81">
        <v>380</v>
      </c>
      <c r="N41" s="1" t="s">
        <v>432</v>
      </c>
      <c r="O41" s="1" t="s">
        <v>102</v>
      </c>
      <c r="P41" s="1" t="s">
        <v>153</v>
      </c>
      <c r="Q41" s="81">
        <v>1055</v>
      </c>
      <c r="R41" s="365">
        <v>12650</v>
      </c>
      <c r="S41" t="s">
        <v>747</v>
      </c>
      <c r="U41" t="s">
        <v>290</v>
      </c>
    </row>
    <row r="42" spans="2:21">
      <c r="B42" t="s">
        <v>335</v>
      </c>
      <c r="C42" s="68" t="s">
        <v>566</v>
      </c>
      <c r="E42" s="329" t="s">
        <v>775</v>
      </c>
      <c r="F42" s="1" t="s">
        <v>430</v>
      </c>
      <c r="G42" t="s">
        <v>310</v>
      </c>
      <c r="H42" s="81">
        <v>25</v>
      </c>
      <c r="N42" s="1" t="s">
        <v>432</v>
      </c>
      <c r="O42" s="1" t="s">
        <v>102</v>
      </c>
      <c r="P42" s="1" t="s">
        <v>154</v>
      </c>
      <c r="Q42" s="81">
        <v>740</v>
      </c>
      <c r="R42" s="365">
        <v>8835.75</v>
      </c>
      <c r="S42" t="s">
        <v>747</v>
      </c>
      <c r="U42" t="s">
        <v>291</v>
      </c>
    </row>
    <row r="43" spans="2:21">
      <c r="B43" t="s">
        <v>336</v>
      </c>
      <c r="C43" s="68" t="s">
        <v>567</v>
      </c>
      <c r="N43" s="1" t="s">
        <v>432</v>
      </c>
      <c r="O43" s="1" t="s">
        <v>102</v>
      </c>
      <c r="P43" s="1" t="s">
        <v>155</v>
      </c>
      <c r="Q43" s="81">
        <v>1310</v>
      </c>
      <c r="R43" s="365">
        <v>15708</v>
      </c>
      <c r="S43" t="s">
        <v>747</v>
      </c>
    </row>
    <row r="44" spans="2:21">
      <c r="C44" s="68" t="s">
        <v>568</v>
      </c>
      <c r="E44" s="329" t="s">
        <v>770</v>
      </c>
      <c r="F44" s="1" t="s">
        <v>438</v>
      </c>
      <c r="G44" t="s">
        <v>447</v>
      </c>
      <c r="N44" s="1" t="s">
        <v>432</v>
      </c>
      <c r="O44" s="1" t="s">
        <v>102</v>
      </c>
      <c r="P44" s="1" t="s">
        <v>156</v>
      </c>
      <c r="Q44" s="81">
        <v>2045</v>
      </c>
      <c r="R44" s="365">
        <v>24543.75</v>
      </c>
      <c r="S44" t="s">
        <v>747</v>
      </c>
    </row>
    <row r="45" spans="2:21">
      <c r="B45" t="s">
        <v>337</v>
      </c>
      <c r="C45" s="68" t="s">
        <v>569</v>
      </c>
      <c r="E45" s="329" t="s">
        <v>770</v>
      </c>
      <c r="F45" s="1" t="s">
        <v>438</v>
      </c>
      <c r="G45" t="s">
        <v>448</v>
      </c>
      <c r="H45" s="81">
        <v>15</v>
      </c>
      <c r="N45" s="1" t="s">
        <v>432</v>
      </c>
      <c r="O45" s="1" t="s">
        <v>102</v>
      </c>
      <c r="P45" s="1" t="s">
        <v>157</v>
      </c>
      <c r="Q45" s="81">
        <v>600</v>
      </c>
      <c r="R45" s="365">
        <v>7038.28</v>
      </c>
      <c r="S45" t="s">
        <v>747</v>
      </c>
    </row>
    <row r="46" spans="2:21">
      <c r="B46" t="s">
        <v>338</v>
      </c>
      <c r="C46" s="68" t="s">
        <v>579</v>
      </c>
      <c r="N46" s="1" t="s">
        <v>432</v>
      </c>
      <c r="O46" s="1" t="s">
        <v>102</v>
      </c>
      <c r="P46" s="1" t="s">
        <v>158</v>
      </c>
      <c r="Q46" s="81">
        <v>1045</v>
      </c>
      <c r="R46" s="365">
        <v>12512.5</v>
      </c>
      <c r="S46" t="s">
        <v>747</v>
      </c>
    </row>
    <row r="47" spans="2:21">
      <c r="B47" t="s">
        <v>339</v>
      </c>
      <c r="C47" s="68" t="s">
        <v>580</v>
      </c>
      <c r="G47" t="s">
        <v>306</v>
      </c>
      <c r="N47" s="1" t="s">
        <v>432</v>
      </c>
      <c r="O47" s="1" t="s">
        <v>102</v>
      </c>
      <c r="P47" s="1" t="s">
        <v>159</v>
      </c>
      <c r="Q47" s="81">
        <v>1630</v>
      </c>
      <c r="R47" s="365">
        <v>19550.75</v>
      </c>
      <c r="S47" t="s">
        <v>747</v>
      </c>
    </row>
    <row r="48" spans="2:21">
      <c r="B48" t="s">
        <v>340</v>
      </c>
      <c r="C48" s="68" t="s">
        <v>581</v>
      </c>
      <c r="G48" t="s">
        <v>307</v>
      </c>
      <c r="N48" s="1" t="s">
        <v>432</v>
      </c>
      <c r="O48" s="1" t="s">
        <v>102</v>
      </c>
      <c r="P48" s="1" t="s">
        <v>105</v>
      </c>
      <c r="Q48" s="81">
        <v>285</v>
      </c>
      <c r="R48" s="365">
        <v>3395.7</v>
      </c>
      <c r="S48" t="s">
        <v>747</v>
      </c>
    </row>
    <row r="49" spans="2:19">
      <c r="B49" t="s">
        <v>341</v>
      </c>
      <c r="C49" s="68" t="s">
        <v>582</v>
      </c>
      <c r="N49" s="1" t="s">
        <v>432</v>
      </c>
      <c r="O49" s="1" t="s">
        <v>102</v>
      </c>
      <c r="P49" s="1" t="s">
        <v>106</v>
      </c>
      <c r="Q49" s="81">
        <v>285</v>
      </c>
      <c r="R49" s="365">
        <v>3395.7</v>
      </c>
      <c r="S49" t="s">
        <v>747</v>
      </c>
    </row>
    <row r="50" spans="2:19">
      <c r="B50" t="s">
        <v>342</v>
      </c>
      <c r="C50" s="68" t="s">
        <v>583</v>
      </c>
      <c r="F50" t="s">
        <v>417</v>
      </c>
      <c r="G50" t="s">
        <v>216</v>
      </c>
      <c r="N50" s="1" t="s">
        <v>432</v>
      </c>
      <c r="O50" s="1" t="s">
        <v>102</v>
      </c>
      <c r="P50" s="1" t="s">
        <v>160</v>
      </c>
      <c r="Q50" s="81">
        <v>97</v>
      </c>
      <c r="R50" s="365">
        <v>1155</v>
      </c>
      <c r="S50" t="s">
        <v>747</v>
      </c>
    </row>
    <row r="51" spans="2:19">
      <c r="B51" t="s">
        <v>343</v>
      </c>
      <c r="F51" t="s">
        <v>417</v>
      </c>
      <c r="G51" t="s">
        <v>217</v>
      </c>
      <c r="N51" s="1" t="s">
        <v>432</v>
      </c>
      <c r="O51" s="1" t="s">
        <v>102</v>
      </c>
      <c r="P51" s="1" t="s">
        <v>161</v>
      </c>
      <c r="Q51" s="81">
        <v>60</v>
      </c>
      <c r="R51" s="365">
        <v>715</v>
      </c>
      <c r="S51" t="s">
        <v>747</v>
      </c>
    </row>
    <row r="52" spans="2:19">
      <c r="B52" t="s">
        <v>344</v>
      </c>
      <c r="F52" t="s">
        <v>417</v>
      </c>
      <c r="G52" t="s">
        <v>218</v>
      </c>
      <c r="N52" s="1" t="s">
        <v>432</v>
      </c>
      <c r="O52" s="1" t="s">
        <v>102</v>
      </c>
      <c r="P52" s="1" t="s">
        <v>354</v>
      </c>
      <c r="Q52" s="81">
        <v>135</v>
      </c>
      <c r="R52" s="345">
        <v>1588</v>
      </c>
      <c r="S52" t="s">
        <v>747</v>
      </c>
    </row>
    <row r="53" spans="2:19">
      <c r="B53" t="s">
        <v>345</v>
      </c>
      <c r="F53" t="s">
        <v>418</v>
      </c>
      <c r="G53" t="s">
        <v>267</v>
      </c>
      <c r="N53" s="1" t="s">
        <v>432</v>
      </c>
      <c r="O53" s="1" t="s">
        <v>102</v>
      </c>
      <c r="P53" t="s">
        <v>163</v>
      </c>
      <c r="Q53" s="81"/>
      <c r="R53" s="366">
        <v>6930</v>
      </c>
      <c r="S53" t="s">
        <v>747</v>
      </c>
    </row>
    <row r="54" spans="2:19">
      <c r="C54">
        <v>1</v>
      </c>
      <c r="F54" t="s">
        <v>418</v>
      </c>
      <c r="G54" t="s">
        <v>268</v>
      </c>
      <c r="N54" s="1" t="s">
        <v>432</v>
      </c>
      <c r="O54" s="1" t="s">
        <v>102</v>
      </c>
      <c r="P54" t="s">
        <v>164</v>
      </c>
      <c r="Q54" s="81"/>
      <c r="R54" s="365">
        <v>5197.5</v>
      </c>
      <c r="S54" t="s">
        <v>747</v>
      </c>
    </row>
    <row r="55" spans="2:19">
      <c r="C55">
        <v>2</v>
      </c>
      <c r="F55" t="s">
        <v>418</v>
      </c>
      <c r="G55" t="s">
        <v>269</v>
      </c>
      <c r="N55" s="1" t="s">
        <v>432</v>
      </c>
      <c r="O55" s="1" t="s">
        <v>102</v>
      </c>
      <c r="P55" t="s">
        <v>165</v>
      </c>
      <c r="Q55" s="81"/>
      <c r="R55" s="365">
        <v>12127.5</v>
      </c>
      <c r="S55" t="s">
        <v>747</v>
      </c>
    </row>
    <row r="56" spans="2:19">
      <c r="C56">
        <v>3</v>
      </c>
      <c r="F56" t="s">
        <v>418</v>
      </c>
      <c r="G56" t="s">
        <v>270</v>
      </c>
      <c r="N56" s="1" t="s">
        <v>432</v>
      </c>
      <c r="O56" s="1" t="s">
        <v>102</v>
      </c>
      <c r="P56" s="1" t="s">
        <v>162</v>
      </c>
      <c r="Q56" s="81">
        <v>12</v>
      </c>
      <c r="R56" s="365">
        <v>120</v>
      </c>
      <c r="S56" t="s">
        <v>747</v>
      </c>
    </row>
    <row r="57" spans="2:19">
      <c r="C57">
        <v>4</v>
      </c>
      <c r="F57" t="s">
        <v>263</v>
      </c>
      <c r="G57" t="s">
        <v>563</v>
      </c>
      <c r="N57" s="1" t="s">
        <v>432</v>
      </c>
      <c r="O57" s="1" t="s">
        <v>102</v>
      </c>
      <c r="P57" s="1" t="s">
        <v>115</v>
      </c>
      <c r="Q57" s="81">
        <v>80</v>
      </c>
      <c r="R57" s="365">
        <v>924</v>
      </c>
      <c r="S57" t="s">
        <v>747</v>
      </c>
    </row>
    <row r="58" spans="2:19">
      <c r="C58">
        <v>5</v>
      </c>
      <c r="N58" s="1" t="s">
        <v>432</v>
      </c>
      <c r="O58" s="1" t="s">
        <v>102</v>
      </c>
      <c r="P58" s="1" t="s">
        <v>116</v>
      </c>
      <c r="Q58" s="81">
        <v>110</v>
      </c>
      <c r="R58" s="365">
        <v>1270</v>
      </c>
      <c r="S58" t="s">
        <v>747</v>
      </c>
    </row>
    <row r="59" spans="2:19">
      <c r="C59">
        <v>6</v>
      </c>
      <c r="N59" s="1" t="s">
        <v>432</v>
      </c>
      <c r="O59" s="1" t="s">
        <v>102</v>
      </c>
      <c r="P59" s="1" t="s">
        <v>117</v>
      </c>
      <c r="Q59" s="81">
        <v>370</v>
      </c>
      <c r="R59" s="365">
        <v>4000</v>
      </c>
      <c r="S59" t="s">
        <v>747</v>
      </c>
    </row>
    <row r="60" spans="2:19">
      <c r="C60">
        <v>7</v>
      </c>
      <c r="N60" s="1" t="s">
        <v>432</v>
      </c>
      <c r="O60" s="1" t="s">
        <v>102</v>
      </c>
      <c r="P60" s="1" t="s">
        <v>118</v>
      </c>
      <c r="Q60" s="81">
        <v>260</v>
      </c>
      <c r="R60" s="365">
        <v>3047</v>
      </c>
      <c r="S60" t="s">
        <v>747</v>
      </c>
    </row>
    <row r="61" spans="2:19">
      <c r="C61">
        <v>8</v>
      </c>
      <c r="N61" s="1" t="s">
        <v>432</v>
      </c>
      <c r="O61" s="1" t="s">
        <v>102</v>
      </c>
      <c r="P61" s="1" t="s">
        <v>119</v>
      </c>
      <c r="Q61" s="81">
        <v>280</v>
      </c>
      <c r="R61" s="365">
        <v>3316.5</v>
      </c>
      <c r="S61" t="s">
        <v>747</v>
      </c>
    </row>
    <row r="62" spans="2:19">
      <c r="C62">
        <v>9</v>
      </c>
      <c r="N62" s="1" t="s">
        <v>432</v>
      </c>
      <c r="O62" s="1" t="s">
        <v>102</v>
      </c>
      <c r="P62" s="1" t="s">
        <v>120</v>
      </c>
      <c r="Q62" s="81">
        <v>370</v>
      </c>
      <c r="R62" s="365">
        <v>4416.5</v>
      </c>
      <c r="S62" t="s">
        <v>747</v>
      </c>
    </row>
    <row r="63" spans="2:19">
      <c r="C63">
        <v>10</v>
      </c>
      <c r="N63" s="1" t="s">
        <v>432</v>
      </c>
      <c r="O63" s="1" t="s">
        <v>102</v>
      </c>
      <c r="P63" s="17" t="s">
        <v>107</v>
      </c>
      <c r="Q63" s="81"/>
      <c r="R63" s="365">
        <v>5197.5</v>
      </c>
      <c r="S63" t="s">
        <v>747</v>
      </c>
    </row>
    <row r="64" spans="2:19">
      <c r="C64">
        <v>11</v>
      </c>
      <c r="N64" s="1" t="s">
        <v>432</v>
      </c>
      <c r="O64" s="1" t="s">
        <v>102</v>
      </c>
      <c r="P64" s="17" t="s">
        <v>108</v>
      </c>
      <c r="Q64" s="81"/>
      <c r="R64" s="366">
        <v>6930</v>
      </c>
      <c r="S64" t="s">
        <v>747</v>
      </c>
    </row>
    <row r="65" spans="3:19">
      <c r="C65">
        <v>12</v>
      </c>
      <c r="N65" s="1" t="s">
        <v>432</v>
      </c>
      <c r="O65" s="1" t="s">
        <v>102</v>
      </c>
      <c r="P65" s="17" t="s">
        <v>109</v>
      </c>
      <c r="Q65" s="81"/>
      <c r="R65" s="365">
        <v>8662.5</v>
      </c>
      <c r="S65" t="s">
        <v>747</v>
      </c>
    </row>
    <row r="66" spans="3:19">
      <c r="C66">
        <v>13</v>
      </c>
      <c r="N66" s="1" t="s">
        <v>432</v>
      </c>
      <c r="O66" s="1" t="s">
        <v>102</v>
      </c>
      <c r="P66" s="17" t="s">
        <v>110</v>
      </c>
      <c r="Q66" s="81">
        <v>870</v>
      </c>
      <c r="R66" s="365">
        <v>10395</v>
      </c>
      <c r="S66" t="s">
        <v>747</v>
      </c>
    </row>
    <row r="67" spans="3:19">
      <c r="C67">
        <v>14</v>
      </c>
      <c r="N67" s="1" t="s">
        <v>432</v>
      </c>
      <c r="O67" s="1" t="s">
        <v>102</v>
      </c>
      <c r="P67" s="17" t="s">
        <v>111</v>
      </c>
      <c r="Q67" s="81">
        <v>1020</v>
      </c>
      <c r="R67" s="365">
        <v>12127.5</v>
      </c>
      <c r="S67" t="s">
        <v>747</v>
      </c>
    </row>
    <row r="68" spans="3:19">
      <c r="C68">
        <v>15</v>
      </c>
      <c r="N68" s="1" t="s">
        <v>432</v>
      </c>
      <c r="O68" s="1" t="s">
        <v>102</v>
      </c>
      <c r="P68" s="17" t="s">
        <v>112</v>
      </c>
      <c r="Q68" s="81">
        <v>1300</v>
      </c>
      <c r="R68" s="365">
        <v>15592.5</v>
      </c>
      <c r="S68" t="s">
        <v>747</v>
      </c>
    </row>
    <row r="69" spans="3:19">
      <c r="C69">
        <v>16</v>
      </c>
      <c r="N69" s="1" t="s">
        <v>432</v>
      </c>
      <c r="O69" s="1" t="s">
        <v>102</v>
      </c>
      <c r="P69" s="17" t="s">
        <v>113</v>
      </c>
      <c r="Q69" s="81">
        <v>1735</v>
      </c>
      <c r="R69" s="365">
        <v>20790</v>
      </c>
      <c r="S69" t="s">
        <v>747</v>
      </c>
    </row>
    <row r="70" spans="3:19">
      <c r="C70">
        <v>17</v>
      </c>
      <c r="N70" s="1" t="s">
        <v>432</v>
      </c>
      <c r="O70" s="1" t="s">
        <v>102</v>
      </c>
      <c r="P70" s="17" t="s">
        <v>114</v>
      </c>
      <c r="Q70" s="81">
        <v>1880</v>
      </c>
      <c r="R70" s="365">
        <v>22522.5</v>
      </c>
      <c r="S70" t="s">
        <v>747</v>
      </c>
    </row>
    <row r="71" spans="3:19">
      <c r="C71">
        <v>18</v>
      </c>
      <c r="N71" s="1" t="s">
        <v>432</v>
      </c>
      <c r="O71" s="1" t="s">
        <v>102</v>
      </c>
      <c r="P71" s="1" t="s">
        <v>162</v>
      </c>
      <c r="Q71" s="81">
        <v>12</v>
      </c>
      <c r="R71" s="365">
        <v>120</v>
      </c>
      <c r="S71" t="s">
        <v>747</v>
      </c>
    </row>
    <row r="72" spans="3:19">
      <c r="C72">
        <v>19</v>
      </c>
      <c r="P72" s="16" t="s">
        <v>179</v>
      </c>
      <c r="S72" t="s">
        <v>747</v>
      </c>
    </row>
    <row r="73" spans="3:19">
      <c r="C73">
        <v>20</v>
      </c>
      <c r="N73" s="1" t="s">
        <v>431</v>
      </c>
      <c r="O73" s="1" t="s">
        <v>121</v>
      </c>
      <c r="P73" s="1" t="s">
        <v>166</v>
      </c>
      <c r="Q73" s="81">
        <v>1100</v>
      </c>
      <c r="R73" s="365">
        <v>12710</v>
      </c>
      <c r="S73" t="s">
        <v>747</v>
      </c>
    </row>
    <row r="74" spans="3:19">
      <c r="C74">
        <v>21</v>
      </c>
      <c r="N74" s="1" t="s">
        <v>431</v>
      </c>
      <c r="O74" s="1" t="s">
        <v>121</v>
      </c>
      <c r="P74" s="1" t="s">
        <v>168</v>
      </c>
      <c r="Q74" s="81">
        <v>630</v>
      </c>
      <c r="R74" s="365">
        <v>7510</v>
      </c>
      <c r="S74" t="s">
        <v>747</v>
      </c>
    </row>
    <row r="75" spans="3:19">
      <c r="C75">
        <v>22</v>
      </c>
      <c r="N75" s="1" t="s">
        <v>431</v>
      </c>
      <c r="O75" s="1" t="s">
        <v>121</v>
      </c>
      <c r="P75" s="1" t="s">
        <v>170</v>
      </c>
      <c r="Q75" s="81">
        <v>520</v>
      </c>
      <c r="R75" s="365">
        <v>6122</v>
      </c>
      <c r="S75" t="s">
        <v>747</v>
      </c>
    </row>
    <row r="76" spans="3:19">
      <c r="C76">
        <v>23</v>
      </c>
      <c r="N76" s="1" t="s">
        <v>431</v>
      </c>
      <c r="O76" s="1" t="s">
        <v>122</v>
      </c>
      <c r="P76" s="1" t="s">
        <v>172</v>
      </c>
      <c r="Q76" s="81">
        <v>1840</v>
      </c>
      <c r="R76" s="365">
        <v>19742.939999999999</v>
      </c>
      <c r="S76" t="s">
        <v>747</v>
      </c>
    </row>
    <row r="77" spans="3:19">
      <c r="C77">
        <v>24</v>
      </c>
      <c r="N77" s="1" t="s">
        <v>431</v>
      </c>
      <c r="O77" s="1" t="s">
        <v>122</v>
      </c>
      <c r="P77" s="1" t="s">
        <v>174</v>
      </c>
      <c r="Q77" s="81">
        <v>1600</v>
      </c>
      <c r="R77" s="365">
        <v>18235.13</v>
      </c>
      <c r="S77" t="s">
        <v>747</v>
      </c>
    </row>
    <row r="78" spans="3:19">
      <c r="C78">
        <v>25</v>
      </c>
      <c r="N78" s="1" t="s">
        <v>431</v>
      </c>
      <c r="O78" s="1" t="s">
        <v>122</v>
      </c>
      <c r="P78" s="1" t="s">
        <v>176</v>
      </c>
      <c r="Q78" s="81">
        <v>1670</v>
      </c>
      <c r="R78" s="365">
        <v>19189.13</v>
      </c>
      <c r="S78" t="s">
        <v>747</v>
      </c>
    </row>
    <row r="79" spans="3:19">
      <c r="C79">
        <v>26</v>
      </c>
      <c r="N79" s="1" t="s">
        <v>431</v>
      </c>
      <c r="O79" s="1" t="s">
        <v>212</v>
      </c>
      <c r="P79" s="1" t="s">
        <v>221</v>
      </c>
      <c r="Q79" s="81">
        <v>200</v>
      </c>
      <c r="R79" s="365">
        <v>2400</v>
      </c>
      <c r="S79" t="s">
        <v>747</v>
      </c>
    </row>
    <row r="80" spans="3:19">
      <c r="C80">
        <v>27</v>
      </c>
      <c r="N80" s="1" t="s">
        <v>431</v>
      </c>
      <c r="O80" s="1" t="s">
        <v>212</v>
      </c>
      <c r="P80" s="1" t="s">
        <v>222</v>
      </c>
      <c r="Q80" s="81">
        <v>260</v>
      </c>
      <c r="R80" s="365">
        <v>3050</v>
      </c>
      <c r="S80" t="s">
        <v>747</v>
      </c>
    </row>
    <row r="81" spans="3:19">
      <c r="C81">
        <v>28</v>
      </c>
      <c r="N81" s="1" t="s">
        <v>431</v>
      </c>
      <c r="O81" s="1" t="s">
        <v>212</v>
      </c>
      <c r="P81" s="1" t="s">
        <v>223</v>
      </c>
      <c r="Q81" s="81">
        <v>345</v>
      </c>
      <c r="R81" s="365">
        <v>4100</v>
      </c>
      <c r="S81" t="s">
        <v>747</v>
      </c>
    </row>
    <row r="82" spans="3:19">
      <c r="C82">
        <v>29</v>
      </c>
      <c r="N82" s="1" t="s">
        <v>431</v>
      </c>
      <c r="O82" s="1" t="s">
        <v>212</v>
      </c>
      <c r="P82" s="1" t="s">
        <v>224</v>
      </c>
      <c r="Q82" s="81">
        <v>415</v>
      </c>
      <c r="R82" s="365">
        <v>4950</v>
      </c>
      <c r="S82" t="s">
        <v>747</v>
      </c>
    </row>
    <row r="83" spans="3:19">
      <c r="C83">
        <v>30</v>
      </c>
      <c r="N83" s="1" t="s">
        <v>431</v>
      </c>
      <c r="O83" s="1" t="s">
        <v>212</v>
      </c>
      <c r="P83" s="1" t="s">
        <v>225</v>
      </c>
      <c r="Q83" s="81">
        <v>460</v>
      </c>
      <c r="R83" s="365">
        <v>5500</v>
      </c>
      <c r="S83" t="s">
        <v>747</v>
      </c>
    </row>
    <row r="84" spans="3:19">
      <c r="P84" s="367" t="s">
        <v>255</v>
      </c>
      <c r="S84" t="s">
        <v>747</v>
      </c>
    </row>
    <row r="85" spans="3:19">
      <c r="N85" s="1" t="s">
        <v>431</v>
      </c>
      <c r="O85" s="1" t="s">
        <v>121</v>
      </c>
      <c r="P85" s="1" t="s">
        <v>167</v>
      </c>
      <c r="Q85" s="81">
        <v>13</v>
      </c>
      <c r="R85" s="365">
        <v>134</v>
      </c>
      <c r="S85" t="s">
        <v>747</v>
      </c>
    </row>
    <row r="86" spans="3:19">
      <c r="N86" s="1" t="s">
        <v>431</v>
      </c>
      <c r="O86" s="1" t="s">
        <v>121</v>
      </c>
      <c r="P86" s="1" t="s">
        <v>169</v>
      </c>
      <c r="Q86" s="81">
        <v>10</v>
      </c>
      <c r="R86" s="365">
        <v>105</v>
      </c>
      <c r="S86" t="s">
        <v>747</v>
      </c>
    </row>
    <row r="87" spans="3:19">
      <c r="N87" s="1" t="s">
        <v>431</v>
      </c>
      <c r="O87" s="1" t="s">
        <v>121</v>
      </c>
      <c r="P87" s="1" t="s">
        <v>171</v>
      </c>
      <c r="Q87" s="81">
        <v>8</v>
      </c>
      <c r="R87" s="365">
        <v>88</v>
      </c>
      <c r="S87" t="s">
        <v>747</v>
      </c>
    </row>
    <row r="88" spans="3:19">
      <c r="N88" s="1" t="s">
        <v>431</v>
      </c>
      <c r="O88" s="1" t="s">
        <v>122</v>
      </c>
      <c r="P88" s="1" t="s">
        <v>173</v>
      </c>
      <c r="Q88" s="81">
        <v>25</v>
      </c>
      <c r="R88" s="365">
        <v>262</v>
      </c>
      <c r="S88" t="s">
        <v>747</v>
      </c>
    </row>
    <row r="89" spans="3:19">
      <c r="N89" s="1" t="s">
        <v>431</v>
      </c>
      <c r="O89" s="1" t="s">
        <v>122</v>
      </c>
      <c r="P89" s="1" t="s">
        <v>175</v>
      </c>
      <c r="Q89" s="81">
        <v>25</v>
      </c>
      <c r="R89" s="365">
        <v>262</v>
      </c>
      <c r="S89" t="s">
        <v>747</v>
      </c>
    </row>
    <row r="90" spans="3:19">
      <c r="N90" s="1" t="s">
        <v>431</v>
      </c>
      <c r="O90" s="1" t="s">
        <v>122</v>
      </c>
      <c r="P90" s="1" t="s">
        <v>185</v>
      </c>
      <c r="Q90" s="81">
        <v>25</v>
      </c>
      <c r="R90" s="365">
        <v>262</v>
      </c>
      <c r="S90" t="s">
        <v>747</v>
      </c>
    </row>
    <row r="91" spans="3:19">
      <c r="P91" s="367" t="s">
        <v>180</v>
      </c>
      <c r="S91" t="s">
        <v>747</v>
      </c>
    </row>
    <row r="92" spans="3:19">
      <c r="N92" s="1" t="s">
        <v>431</v>
      </c>
      <c r="O92" s="1" t="s">
        <v>121</v>
      </c>
      <c r="P92" s="1" t="s">
        <v>166</v>
      </c>
      <c r="Q92" s="81">
        <v>1000</v>
      </c>
      <c r="R92" s="365">
        <v>11970</v>
      </c>
      <c r="S92" t="s">
        <v>747</v>
      </c>
    </row>
    <row r="93" spans="3:19">
      <c r="N93" s="1" t="s">
        <v>431</v>
      </c>
      <c r="O93" s="1" t="s">
        <v>121</v>
      </c>
      <c r="P93" s="1" t="s">
        <v>168</v>
      </c>
      <c r="Q93" s="81">
        <v>870</v>
      </c>
      <c r="R93" s="365">
        <v>10395</v>
      </c>
      <c r="S93" t="s">
        <v>747</v>
      </c>
    </row>
    <row r="94" spans="3:19">
      <c r="N94" s="1" t="s">
        <v>431</v>
      </c>
      <c r="O94" s="1" t="s">
        <v>121</v>
      </c>
      <c r="P94" s="1" t="s">
        <v>170</v>
      </c>
      <c r="Q94" s="81">
        <v>600</v>
      </c>
      <c r="R94" s="365">
        <v>7161</v>
      </c>
      <c r="S94" t="s">
        <v>747</v>
      </c>
    </row>
    <row r="95" spans="3:19">
      <c r="N95" s="1" t="s">
        <v>431</v>
      </c>
      <c r="O95" s="1" t="s">
        <v>122</v>
      </c>
      <c r="P95" s="1" t="s">
        <v>172</v>
      </c>
      <c r="Q95" s="81">
        <v>2270</v>
      </c>
      <c r="R95" s="365">
        <v>25853.51</v>
      </c>
      <c r="S95" t="s">
        <v>747</v>
      </c>
    </row>
    <row r="96" spans="3:19">
      <c r="N96" s="1" t="s">
        <v>431</v>
      </c>
      <c r="O96" s="1" t="s">
        <v>122</v>
      </c>
      <c r="P96" s="1" t="s">
        <v>174</v>
      </c>
      <c r="Q96" s="81">
        <v>1880</v>
      </c>
      <c r="R96" s="365">
        <v>21335.42</v>
      </c>
      <c r="S96" t="s">
        <v>747</v>
      </c>
    </row>
    <row r="97" spans="14:19">
      <c r="N97" s="1" t="s">
        <v>431</v>
      </c>
      <c r="O97" s="1" t="s">
        <v>122</v>
      </c>
      <c r="P97" s="1" t="s">
        <v>176</v>
      </c>
      <c r="Q97" s="81">
        <v>2510</v>
      </c>
      <c r="R97" s="365">
        <v>27935.51</v>
      </c>
      <c r="S97" t="s">
        <v>747</v>
      </c>
    </row>
    <row r="98" spans="14:19">
      <c r="N98" s="1" t="s">
        <v>431</v>
      </c>
      <c r="O98" s="1" t="s">
        <v>212</v>
      </c>
      <c r="P98" s="1" t="s">
        <v>221</v>
      </c>
      <c r="Q98" s="81">
        <v>260</v>
      </c>
      <c r="R98" s="365">
        <v>3050</v>
      </c>
      <c r="S98" t="s">
        <v>747</v>
      </c>
    </row>
    <row r="99" spans="14:19">
      <c r="N99" s="1" t="s">
        <v>431</v>
      </c>
      <c r="O99" s="1" t="s">
        <v>212</v>
      </c>
      <c r="P99" s="1" t="s">
        <v>222</v>
      </c>
      <c r="Q99" s="81">
        <v>310</v>
      </c>
      <c r="R99" s="365">
        <v>3700</v>
      </c>
      <c r="S99" t="s">
        <v>747</v>
      </c>
    </row>
    <row r="100" spans="14:19">
      <c r="N100" s="1" t="s">
        <v>431</v>
      </c>
      <c r="O100" s="1" t="s">
        <v>212</v>
      </c>
      <c r="P100" s="1" t="s">
        <v>223</v>
      </c>
      <c r="Q100" s="81">
        <v>410</v>
      </c>
      <c r="R100" s="365">
        <v>4900</v>
      </c>
      <c r="S100" t="s">
        <v>747</v>
      </c>
    </row>
    <row r="101" spans="14:19">
      <c r="N101" s="1" t="s">
        <v>431</v>
      </c>
      <c r="O101" s="1" t="s">
        <v>212</v>
      </c>
      <c r="P101" s="1" t="s">
        <v>224</v>
      </c>
      <c r="Q101" s="81">
        <v>470</v>
      </c>
      <c r="R101" s="365">
        <v>5550</v>
      </c>
      <c r="S101" t="s">
        <v>747</v>
      </c>
    </row>
    <row r="102" spans="14:19">
      <c r="N102" s="1" t="s">
        <v>431</v>
      </c>
      <c r="O102" s="1" t="s">
        <v>212</v>
      </c>
      <c r="P102" s="1" t="s">
        <v>225</v>
      </c>
      <c r="Q102" s="81">
        <v>540</v>
      </c>
      <c r="R102" s="365">
        <v>6400</v>
      </c>
      <c r="S102" t="s">
        <v>747</v>
      </c>
    </row>
    <row r="103" spans="14:19">
      <c r="P103" s="367" t="s">
        <v>255</v>
      </c>
      <c r="S103" t="s">
        <v>747</v>
      </c>
    </row>
    <row r="104" spans="14:19">
      <c r="N104" s="1" t="s">
        <v>431</v>
      </c>
      <c r="O104" s="1" t="s">
        <v>121</v>
      </c>
      <c r="P104" s="1" t="s">
        <v>177</v>
      </c>
      <c r="Q104" s="81">
        <v>26</v>
      </c>
      <c r="R104" s="365">
        <v>289</v>
      </c>
      <c r="S104" t="s">
        <v>747</v>
      </c>
    </row>
    <row r="105" spans="14:19">
      <c r="N105" s="1" t="s">
        <v>431</v>
      </c>
      <c r="O105" s="1" t="s">
        <v>121</v>
      </c>
      <c r="P105" s="1" t="s">
        <v>178</v>
      </c>
      <c r="Q105" s="81">
        <v>23</v>
      </c>
      <c r="R105" s="365">
        <v>266</v>
      </c>
      <c r="S105" t="s">
        <v>747</v>
      </c>
    </row>
    <row r="106" spans="14:19">
      <c r="N106" s="1" t="s">
        <v>431</v>
      </c>
      <c r="O106" s="1" t="s">
        <v>121</v>
      </c>
      <c r="P106" s="1" t="s">
        <v>171</v>
      </c>
      <c r="Q106" s="81">
        <v>17</v>
      </c>
      <c r="R106" s="365">
        <v>182</v>
      </c>
      <c r="S106" t="s">
        <v>747</v>
      </c>
    </row>
    <row r="107" spans="14:19">
      <c r="N107" s="1" t="s">
        <v>431</v>
      </c>
      <c r="O107" s="1" t="s">
        <v>122</v>
      </c>
      <c r="P107" s="1" t="s">
        <v>173</v>
      </c>
      <c r="Q107" s="81">
        <v>36</v>
      </c>
      <c r="R107" s="365">
        <v>398</v>
      </c>
      <c r="S107" t="s">
        <v>747</v>
      </c>
    </row>
    <row r="108" spans="14:19">
      <c r="N108" s="1" t="s">
        <v>431</v>
      </c>
      <c r="O108" s="1" t="s">
        <v>122</v>
      </c>
      <c r="P108" s="1" t="s">
        <v>175</v>
      </c>
      <c r="Q108" s="81">
        <v>36</v>
      </c>
      <c r="R108" s="365">
        <v>398</v>
      </c>
      <c r="S108" t="s">
        <v>747</v>
      </c>
    </row>
    <row r="109" spans="14:19">
      <c r="N109" s="1" t="s">
        <v>431</v>
      </c>
      <c r="O109" s="1" t="s">
        <v>122</v>
      </c>
      <c r="P109" s="1" t="s">
        <v>185</v>
      </c>
      <c r="Q109" s="81">
        <v>36</v>
      </c>
      <c r="R109" s="365">
        <v>357</v>
      </c>
      <c r="S109" t="s">
        <v>747</v>
      </c>
    </row>
    <row r="110" spans="14:19">
      <c r="P110" s="367" t="s">
        <v>181</v>
      </c>
      <c r="S110" t="s">
        <v>747</v>
      </c>
    </row>
    <row r="111" spans="14:19">
      <c r="N111" s="1" t="s">
        <v>431</v>
      </c>
      <c r="O111" s="1" t="s">
        <v>122</v>
      </c>
      <c r="P111" s="1" t="s">
        <v>182</v>
      </c>
      <c r="Q111" s="81">
        <v>2365</v>
      </c>
      <c r="R111" s="365">
        <v>27013.46</v>
      </c>
      <c r="S111" t="s">
        <v>747</v>
      </c>
    </row>
    <row r="112" spans="14:19">
      <c r="N112" s="1" t="s">
        <v>431</v>
      </c>
      <c r="O112" s="1" t="s">
        <v>122</v>
      </c>
      <c r="P112" s="1" t="s">
        <v>183</v>
      </c>
      <c r="Q112" s="81">
        <v>2360</v>
      </c>
      <c r="R112" s="365">
        <v>22565.7</v>
      </c>
      <c r="S112" t="s">
        <v>747</v>
      </c>
    </row>
    <row r="113" spans="14:19">
      <c r="N113" s="1" t="s">
        <v>431</v>
      </c>
      <c r="O113" s="1" t="s">
        <v>122</v>
      </c>
      <c r="P113" s="1" t="s">
        <v>184</v>
      </c>
      <c r="Q113" s="81">
        <v>2730</v>
      </c>
      <c r="R113" s="365">
        <v>31164.94</v>
      </c>
      <c r="S113" t="s">
        <v>747</v>
      </c>
    </row>
    <row r="114" spans="14:19">
      <c r="N114" s="1" t="s">
        <v>431</v>
      </c>
      <c r="O114" s="1" t="s">
        <v>122</v>
      </c>
      <c r="P114" s="1" t="s">
        <v>173</v>
      </c>
      <c r="Q114" s="81">
        <v>35</v>
      </c>
      <c r="R114" s="365">
        <v>398</v>
      </c>
      <c r="S114" t="s">
        <v>747</v>
      </c>
    </row>
    <row r="115" spans="14:19">
      <c r="N115" s="1" t="s">
        <v>431</v>
      </c>
      <c r="O115" s="1" t="s">
        <v>122</v>
      </c>
      <c r="P115" s="1" t="s">
        <v>175</v>
      </c>
      <c r="Q115" s="81">
        <v>35</v>
      </c>
      <c r="R115" s="365">
        <v>375</v>
      </c>
      <c r="S115" t="s">
        <v>747</v>
      </c>
    </row>
    <row r="116" spans="14:19">
      <c r="N116" s="1" t="s">
        <v>431</v>
      </c>
      <c r="O116" s="1" t="s">
        <v>122</v>
      </c>
      <c r="P116" s="1" t="s">
        <v>185</v>
      </c>
      <c r="Q116" s="81">
        <v>35</v>
      </c>
      <c r="R116" s="365">
        <v>398</v>
      </c>
      <c r="S116" t="s">
        <v>747</v>
      </c>
    </row>
    <row r="117" spans="14:19">
      <c r="P117" s="367" t="s">
        <v>213</v>
      </c>
      <c r="S117" t="s">
        <v>747</v>
      </c>
    </row>
    <row r="118" spans="14:19">
      <c r="N118" s="1" t="s">
        <v>431</v>
      </c>
      <c r="O118" s="80" t="s">
        <v>214</v>
      </c>
      <c r="P118" s="19" t="s">
        <v>226</v>
      </c>
      <c r="Q118" s="81">
        <v>300</v>
      </c>
      <c r="R118" s="365">
        <v>3130</v>
      </c>
      <c r="S118" t="s">
        <v>747</v>
      </c>
    </row>
    <row r="119" spans="14:19">
      <c r="N119" s="1" t="s">
        <v>431</v>
      </c>
      <c r="O119" s="80" t="s">
        <v>214</v>
      </c>
      <c r="P119" s="19" t="s">
        <v>227</v>
      </c>
      <c r="Q119" s="81">
        <v>440</v>
      </c>
      <c r="R119" s="365">
        <v>4725</v>
      </c>
      <c r="S119" t="s">
        <v>747</v>
      </c>
    </row>
    <row r="120" spans="14:19">
      <c r="N120" s="1" t="s">
        <v>431</v>
      </c>
      <c r="O120" s="80" t="s">
        <v>214</v>
      </c>
      <c r="P120" s="19" t="s">
        <v>228</v>
      </c>
      <c r="Q120" s="81">
        <v>430</v>
      </c>
      <c r="R120" s="365">
        <v>4702</v>
      </c>
      <c r="S120" t="s">
        <v>747</v>
      </c>
    </row>
    <row r="121" spans="14:19">
      <c r="N121" s="1" t="s">
        <v>431</v>
      </c>
      <c r="O121" s="80" t="s">
        <v>214</v>
      </c>
      <c r="P121" s="19" t="s">
        <v>229</v>
      </c>
      <c r="Q121" s="81">
        <v>360</v>
      </c>
      <c r="R121" s="365">
        <v>3811</v>
      </c>
      <c r="S121" t="s">
        <v>747</v>
      </c>
    </row>
    <row r="122" spans="14:19">
      <c r="N122" s="1" t="s">
        <v>431</v>
      </c>
      <c r="O122" s="80" t="s">
        <v>214</v>
      </c>
      <c r="P122" s="19" t="s">
        <v>230</v>
      </c>
      <c r="Q122" s="81">
        <v>285</v>
      </c>
      <c r="R122" s="365">
        <v>2920</v>
      </c>
      <c r="S122" t="s">
        <v>747</v>
      </c>
    </row>
    <row r="123" spans="14:19">
      <c r="N123" s="1" t="s">
        <v>431</v>
      </c>
      <c r="O123" s="80" t="s">
        <v>214</v>
      </c>
      <c r="P123" s="19" t="s">
        <v>231</v>
      </c>
      <c r="Q123" s="81">
        <v>265</v>
      </c>
      <c r="R123" s="365">
        <v>2700</v>
      </c>
      <c r="S123" t="s">
        <v>747</v>
      </c>
    </row>
    <row r="124" spans="14:19">
      <c r="N124" s="1" t="s">
        <v>431</v>
      </c>
      <c r="O124" s="80" t="s">
        <v>214</v>
      </c>
      <c r="P124" s="19" t="s">
        <v>232</v>
      </c>
      <c r="Q124" s="81">
        <v>460</v>
      </c>
      <c r="R124" s="365">
        <v>4449</v>
      </c>
      <c r="S124" t="s">
        <v>747</v>
      </c>
    </row>
    <row r="125" spans="14:19">
      <c r="N125" s="1" t="s">
        <v>431</v>
      </c>
      <c r="O125" s="80" t="s">
        <v>214</v>
      </c>
      <c r="P125" s="19" t="s">
        <v>233</v>
      </c>
      <c r="Q125" s="81">
        <v>500</v>
      </c>
      <c r="R125" s="365">
        <v>5505</v>
      </c>
      <c r="S125" t="s">
        <v>747</v>
      </c>
    </row>
    <row r="126" spans="14:19">
      <c r="P126" s="368" t="s">
        <v>234</v>
      </c>
      <c r="S126" t="s">
        <v>747</v>
      </c>
    </row>
    <row r="127" spans="14:19">
      <c r="N127" s="1" t="s">
        <v>431</v>
      </c>
      <c r="O127" s="1" t="s">
        <v>215</v>
      </c>
      <c r="P127" s="1" t="s">
        <v>216</v>
      </c>
      <c r="Q127" s="81">
        <v>300</v>
      </c>
      <c r="R127" s="365">
        <v>2720</v>
      </c>
      <c r="S127" t="s">
        <v>747</v>
      </c>
    </row>
    <row r="128" spans="14:19">
      <c r="N128" s="1" t="s">
        <v>431</v>
      </c>
      <c r="O128" s="1" t="s">
        <v>215</v>
      </c>
      <c r="P128" s="1" t="s">
        <v>217</v>
      </c>
      <c r="Q128" s="81">
        <v>400</v>
      </c>
      <c r="R128" s="365">
        <v>4406</v>
      </c>
      <c r="S128" t="s">
        <v>747</v>
      </c>
    </row>
    <row r="129" spans="14:19">
      <c r="N129" s="1" t="s">
        <v>431</v>
      </c>
      <c r="O129" s="1" t="s">
        <v>215</v>
      </c>
      <c r="P129" s="1" t="s">
        <v>218</v>
      </c>
      <c r="Q129" s="81">
        <v>600</v>
      </c>
      <c r="R129" s="365">
        <v>5990</v>
      </c>
      <c r="S129" t="s">
        <v>747</v>
      </c>
    </row>
    <row r="130" spans="14:19">
      <c r="N130" s="1" t="s">
        <v>431</v>
      </c>
      <c r="O130" s="1" t="s">
        <v>215</v>
      </c>
      <c r="P130" s="1" t="s">
        <v>219</v>
      </c>
      <c r="Q130" s="81">
        <v>700</v>
      </c>
      <c r="R130" s="365">
        <v>7850</v>
      </c>
      <c r="S130" t="s">
        <v>747</v>
      </c>
    </row>
    <row r="131" spans="14:19">
      <c r="N131" s="1" t="s">
        <v>431</v>
      </c>
      <c r="O131" s="1" t="s">
        <v>215</v>
      </c>
      <c r="P131" s="1" t="s">
        <v>220</v>
      </c>
      <c r="Q131" s="81">
        <v>1500</v>
      </c>
      <c r="R131" s="365">
        <v>15700</v>
      </c>
      <c r="S131" t="s">
        <v>747</v>
      </c>
    </row>
    <row r="132" spans="14:19">
      <c r="N132" s="1" t="s">
        <v>431</v>
      </c>
      <c r="O132" s="1" t="s">
        <v>215</v>
      </c>
      <c r="P132" s="1" t="s">
        <v>260</v>
      </c>
      <c r="Q132" s="81">
        <v>650</v>
      </c>
      <c r="R132" s="365">
        <v>7450</v>
      </c>
      <c r="S132" t="s">
        <v>747</v>
      </c>
    </row>
    <row r="133" spans="14:19">
      <c r="N133" s="1" t="s">
        <v>431</v>
      </c>
      <c r="O133" s="1" t="s">
        <v>215</v>
      </c>
      <c r="P133" s="1" t="s">
        <v>259</v>
      </c>
      <c r="Q133" s="81">
        <v>1200</v>
      </c>
      <c r="R133" s="365">
        <v>12000</v>
      </c>
      <c r="S133" t="s">
        <v>747</v>
      </c>
    </row>
    <row r="134" spans="14:19">
      <c r="N134" s="1" t="s">
        <v>431</v>
      </c>
      <c r="O134" s="1" t="s">
        <v>215</v>
      </c>
      <c r="P134" s="1" t="s">
        <v>258</v>
      </c>
      <c r="Q134" s="81">
        <v>1700</v>
      </c>
      <c r="R134" s="365">
        <v>19380</v>
      </c>
      <c r="S134" t="s">
        <v>747</v>
      </c>
    </row>
    <row r="135" spans="14:19">
      <c r="N135" s="1" t="s">
        <v>431</v>
      </c>
      <c r="O135" s="1" t="s">
        <v>215</v>
      </c>
      <c r="P135" s="1" t="s">
        <v>261</v>
      </c>
      <c r="Q135" s="81">
        <v>1550</v>
      </c>
      <c r="R135" s="365">
        <v>22400</v>
      </c>
      <c r="S135" t="s">
        <v>747</v>
      </c>
    </row>
    <row r="136" spans="14:19">
      <c r="P136" s="367" t="s">
        <v>419</v>
      </c>
      <c r="S136" t="s">
        <v>747</v>
      </c>
    </row>
    <row r="137" spans="14:19">
      <c r="N137" s="1" t="s">
        <v>431</v>
      </c>
      <c r="O137" s="1" t="s">
        <v>215</v>
      </c>
      <c r="P137" s="1" t="s">
        <v>861</v>
      </c>
      <c r="Q137" s="81">
        <v>20</v>
      </c>
      <c r="R137" s="369">
        <v>320</v>
      </c>
      <c r="S137" t="s">
        <v>747</v>
      </c>
    </row>
    <row r="138" spans="14:19">
      <c r="N138" s="1" t="s">
        <v>431</v>
      </c>
      <c r="O138" s="1" t="s">
        <v>215</v>
      </c>
      <c r="P138" s="1" t="s">
        <v>862</v>
      </c>
      <c r="Q138" s="81">
        <v>30</v>
      </c>
      <c r="R138" s="365">
        <v>656</v>
      </c>
      <c r="S138" t="s">
        <v>747</v>
      </c>
    </row>
    <row r="139" spans="14:19">
      <c r="N139" s="1" t="s">
        <v>431</v>
      </c>
      <c r="O139" s="1" t="s">
        <v>215</v>
      </c>
      <c r="P139" s="1" t="s">
        <v>863</v>
      </c>
      <c r="Q139" s="81">
        <v>60</v>
      </c>
      <c r="R139" s="365">
        <v>1100</v>
      </c>
      <c r="S139" t="s">
        <v>747</v>
      </c>
    </row>
    <row r="140" spans="14:19">
      <c r="N140" s="1" t="s">
        <v>433</v>
      </c>
      <c r="O140" s="1" t="s">
        <v>123</v>
      </c>
      <c r="P140" s="1" t="s">
        <v>127</v>
      </c>
      <c r="Q140" s="81">
        <v>620</v>
      </c>
      <c r="R140" s="365">
        <v>6825</v>
      </c>
      <c r="S140" t="s">
        <v>747</v>
      </c>
    </row>
    <row r="141" spans="14:19">
      <c r="N141" s="1" t="s">
        <v>433</v>
      </c>
      <c r="O141" s="1" t="s">
        <v>123</v>
      </c>
      <c r="P141" s="1" t="s">
        <v>128</v>
      </c>
      <c r="Q141" s="81">
        <v>720</v>
      </c>
      <c r="R141" s="365">
        <v>7455</v>
      </c>
      <c r="S141" t="s">
        <v>747</v>
      </c>
    </row>
    <row r="142" spans="14:19">
      <c r="N142" s="1" t="s">
        <v>433</v>
      </c>
      <c r="O142" s="1" t="s">
        <v>123</v>
      </c>
      <c r="P142" s="1" t="s">
        <v>126</v>
      </c>
      <c r="Q142" s="81">
        <v>730</v>
      </c>
      <c r="R142" s="365">
        <v>8400</v>
      </c>
      <c r="S142" t="s">
        <v>747</v>
      </c>
    </row>
    <row r="143" spans="14:19">
      <c r="N143" s="1" t="s">
        <v>433</v>
      </c>
      <c r="O143" s="1" t="s">
        <v>123</v>
      </c>
      <c r="P143" s="1" t="s">
        <v>124</v>
      </c>
      <c r="Q143" s="81">
        <v>820</v>
      </c>
      <c r="R143" s="365">
        <v>9030</v>
      </c>
      <c r="S143" t="s">
        <v>747</v>
      </c>
    </row>
    <row r="144" spans="14:19">
      <c r="N144" s="1" t="s">
        <v>433</v>
      </c>
      <c r="O144" s="1" t="s">
        <v>123</v>
      </c>
      <c r="P144" s="1" t="s">
        <v>125</v>
      </c>
      <c r="Q144" s="81">
        <v>920</v>
      </c>
      <c r="R144" s="365">
        <v>10290</v>
      </c>
      <c r="S144" t="s">
        <v>747</v>
      </c>
    </row>
    <row r="145" spans="14:19">
      <c r="N145" s="1"/>
      <c r="P145" s="1" t="s">
        <v>408</v>
      </c>
      <c r="S145" t="s">
        <v>747</v>
      </c>
    </row>
    <row r="146" spans="14:19">
      <c r="N146" s="1" t="s">
        <v>433</v>
      </c>
      <c r="O146" s="1" t="s">
        <v>123</v>
      </c>
      <c r="P146" s="2" t="s">
        <v>407</v>
      </c>
      <c r="Q146" s="81">
        <v>200</v>
      </c>
      <c r="R146" s="365">
        <v>1950</v>
      </c>
      <c r="S146" t="s">
        <v>747</v>
      </c>
    </row>
    <row r="147" spans="14:19">
      <c r="N147" s="1" t="s">
        <v>442</v>
      </c>
      <c r="O147" s="1" t="s">
        <v>129</v>
      </c>
      <c r="P147" s="1" t="s">
        <v>186</v>
      </c>
      <c r="Q147" s="81">
        <v>710</v>
      </c>
      <c r="R147" s="365">
        <v>8415.75</v>
      </c>
      <c r="S147" t="s">
        <v>747</v>
      </c>
    </row>
    <row r="148" spans="14:19">
      <c r="N148" s="1" t="s">
        <v>442</v>
      </c>
      <c r="O148" s="1" t="s">
        <v>129</v>
      </c>
      <c r="P148" s="1" t="s">
        <v>187</v>
      </c>
      <c r="Q148" s="81">
        <v>850</v>
      </c>
      <c r="R148" s="365">
        <v>9902.5499999999993</v>
      </c>
      <c r="S148" t="s">
        <v>747</v>
      </c>
    </row>
    <row r="149" spans="14:19">
      <c r="N149" s="1" t="s">
        <v>442</v>
      </c>
      <c r="O149" s="1" t="s">
        <v>129</v>
      </c>
      <c r="P149" s="1" t="s">
        <v>188</v>
      </c>
      <c r="Q149" s="81">
        <v>1500</v>
      </c>
      <c r="R149" s="365">
        <v>17987</v>
      </c>
      <c r="S149" t="s">
        <v>747</v>
      </c>
    </row>
    <row r="150" spans="14:19">
      <c r="N150" s="1" t="s">
        <v>442</v>
      </c>
      <c r="O150" s="1" t="s">
        <v>129</v>
      </c>
      <c r="P150" s="1" t="s">
        <v>189</v>
      </c>
      <c r="Q150" s="81">
        <v>1010</v>
      </c>
      <c r="R150" s="365">
        <v>12007</v>
      </c>
      <c r="S150" t="s">
        <v>747</v>
      </c>
    </row>
    <row r="151" spans="14:19">
      <c r="N151" s="1" t="s">
        <v>442</v>
      </c>
      <c r="O151" s="1" t="s">
        <v>129</v>
      </c>
      <c r="P151" s="1" t="s">
        <v>190</v>
      </c>
      <c r="Q151" s="81">
        <v>1010</v>
      </c>
      <c r="R151" s="365">
        <v>12007.8</v>
      </c>
      <c r="S151" t="s">
        <v>747</v>
      </c>
    </row>
    <row r="152" spans="14:19">
      <c r="N152" s="1" t="s">
        <v>442</v>
      </c>
      <c r="O152" s="1" t="s">
        <v>129</v>
      </c>
      <c r="P152" s="1" t="s">
        <v>191</v>
      </c>
      <c r="Q152" s="81">
        <v>1010</v>
      </c>
      <c r="R152" s="365">
        <v>12292.35</v>
      </c>
      <c r="S152" t="s">
        <v>747</v>
      </c>
    </row>
    <row r="153" spans="14:19">
      <c r="N153" s="1" t="s">
        <v>442</v>
      </c>
      <c r="O153" s="1" t="s">
        <v>129</v>
      </c>
      <c r="P153" s="1" t="s">
        <v>192</v>
      </c>
      <c r="Q153" s="81">
        <v>1170</v>
      </c>
      <c r="R153" s="365">
        <v>13917.75</v>
      </c>
      <c r="S153" t="s">
        <v>747</v>
      </c>
    </row>
    <row r="154" spans="14:19">
      <c r="N154" s="1" t="s">
        <v>442</v>
      </c>
      <c r="O154" s="1" t="s">
        <v>129</v>
      </c>
      <c r="P154" s="1" t="s">
        <v>193</v>
      </c>
      <c r="Q154" s="81">
        <v>1350</v>
      </c>
      <c r="R154" s="365">
        <v>15886.5</v>
      </c>
      <c r="S154" t="s">
        <v>747</v>
      </c>
    </row>
    <row r="155" spans="14:19">
      <c r="N155" s="1" t="s">
        <v>442</v>
      </c>
      <c r="O155" s="1" t="s">
        <v>142</v>
      </c>
      <c r="P155" s="1" t="s">
        <v>198</v>
      </c>
      <c r="Q155" s="81">
        <v>610</v>
      </c>
      <c r="R155" s="365">
        <v>7000</v>
      </c>
      <c r="S155" t="s">
        <v>747</v>
      </c>
    </row>
    <row r="156" spans="14:19">
      <c r="N156" s="1" t="s">
        <v>442</v>
      </c>
      <c r="O156" s="1" t="s">
        <v>142</v>
      </c>
      <c r="P156" t="s">
        <v>199</v>
      </c>
      <c r="Q156" s="81">
        <v>840</v>
      </c>
      <c r="R156" s="365">
        <v>9600</v>
      </c>
      <c r="S156" t="s">
        <v>747</v>
      </c>
    </row>
    <row r="157" spans="14:19">
      <c r="N157" s="1" t="s">
        <v>442</v>
      </c>
      <c r="O157" s="1" t="s">
        <v>142</v>
      </c>
      <c r="P157" s="1" t="s">
        <v>200</v>
      </c>
      <c r="Q157" s="81">
        <v>1150</v>
      </c>
      <c r="R157" s="365">
        <v>12800</v>
      </c>
      <c r="S157" t="s">
        <v>747</v>
      </c>
    </row>
    <row r="158" spans="14:19">
      <c r="N158" s="1" t="s">
        <v>442</v>
      </c>
      <c r="O158" s="1" t="s">
        <v>129</v>
      </c>
      <c r="P158" s="1" t="s">
        <v>194</v>
      </c>
      <c r="Q158" s="81">
        <v>820</v>
      </c>
      <c r="R158" s="365">
        <v>9786</v>
      </c>
      <c r="S158" t="s">
        <v>747</v>
      </c>
    </row>
    <row r="159" spans="14:19">
      <c r="N159" s="1" t="s">
        <v>442</v>
      </c>
      <c r="O159" s="1" t="s">
        <v>129</v>
      </c>
      <c r="P159" s="1" t="s">
        <v>130</v>
      </c>
      <c r="Q159" s="81">
        <v>820</v>
      </c>
      <c r="R159" s="365">
        <v>9786</v>
      </c>
      <c r="S159" t="s">
        <v>747</v>
      </c>
    </row>
    <row r="160" spans="14:19">
      <c r="N160" s="1" t="s">
        <v>442</v>
      </c>
      <c r="O160" s="1" t="s">
        <v>129</v>
      </c>
      <c r="P160" s="1" t="s">
        <v>131</v>
      </c>
      <c r="Q160" s="81">
        <v>1400</v>
      </c>
      <c r="R160" s="365">
        <v>16579.5</v>
      </c>
      <c r="S160" t="s">
        <v>747</v>
      </c>
    </row>
    <row r="161" spans="14:19">
      <c r="N161" s="1" t="s">
        <v>442</v>
      </c>
      <c r="O161" s="1" t="s">
        <v>142</v>
      </c>
      <c r="P161" s="1" t="s">
        <v>195</v>
      </c>
      <c r="Q161" s="81">
        <v>840</v>
      </c>
      <c r="R161" s="365">
        <v>9800</v>
      </c>
      <c r="S161" t="s">
        <v>747</v>
      </c>
    </row>
    <row r="162" spans="14:19">
      <c r="N162" s="1" t="s">
        <v>442</v>
      </c>
      <c r="O162" s="1" t="s">
        <v>142</v>
      </c>
      <c r="P162" s="1" t="s">
        <v>196</v>
      </c>
      <c r="Q162" s="81">
        <v>840</v>
      </c>
      <c r="R162" s="365">
        <v>9600</v>
      </c>
      <c r="S162" t="s">
        <v>747</v>
      </c>
    </row>
    <row r="163" spans="14:19">
      <c r="N163" s="1" t="s">
        <v>442</v>
      </c>
      <c r="O163" s="1" t="s">
        <v>142</v>
      </c>
      <c r="P163" s="1" t="s">
        <v>197</v>
      </c>
      <c r="Q163" s="81">
        <v>980</v>
      </c>
      <c r="R163" s="365">
        <v>11600</v>
      </c>
      <c r="S163" t="s">
        <v>747</v>
      </c>
    </row>
    <row r="164" spans="14:19">
      <c r="N164" s="1" t="s">
        <v>433</v>
      </c>
      <c r="O164" s="1" t="s">
        <v>428</v>
      </c>
      <c r="P164" s="1" t="s">
        <v>373</v>
      </c>
      <c r="Q164" s="81">
        <v>2450</v>
      </c>
      <c r="R164" s="365">
        <v>29000</v>
      </c>
      <c r="S164" t="s">
        <v>747</v>
      </c>
    </row>
    <row r="165" spans="14:19">
      <c r="N165" s="1" t="s">
        <v>433</v>
      </c>
      <c r="O165" s="1" t="s">
        <v>428</v>
      </c>
      <c r="P165" s="1" t="s">
        <v>374</v>
      </c>
      <c r="Q165" s="81">
        <v>1260</v>
      </c>
      <c r="R165" s="365">
        <v>16000</v>
      </c>
      <c r="S165" t="s">
        <v>747</v>
      </c>
    </row>
    <row r="166" spans="14:19">
      <c r="N166" s="1" t="s">
        <v>433</v>
      </c>
      <c r="O166" s="1" t="s">
        <v>428</v>
      </c>
      <c r="P166" s="1" t="s">
        <v>375</v>
      </c>
      <c r="Q166" s="81">
        <v>1840</v>
      </c>
      <c r="R166" s="365">
        <v>23000</v>
      </c>
      <c r="S166" t="s">
        <v>747</v>
      </c>
    </row>
    <row r="167" spans="14:19">
      <c r="N167" s="1" t="s">
        <v>433</v>
      </c>
      <c r="O167" s="1" t="s">
        <v>428</v>
      </c>
      <c r="P167" s="1" t="s">
        <v>376</v>
      </c>
      <c r="Q167" s="81">
        <v>2100</v>
      </c>
      <c r="R167" s="365">
        <v>27500</v>
      </c>
      <c r="S167" t="s">
        <v>747</v>
      </c>
    </row>
    <row r="168" spans="14:19">
      <c r="N168" s="1" t="s">
        <v>433</v>
      </c>
      <c r="O168" s="1" t="s">
        <v>428</v>
      </c>
      <c r="P168" s="1" t="s">
        <v>377</v>
      </c>
      <c r="Q168" s="81">
        <v>2600</v>
      </c>
      <c r="R168" s="365">
        <v>30000</v>
      </c>
      <c r="S168" t="s">
        <v>747</v>
      </c>
    </row>
    <row r="169" spans="14:19">
      <c r="N169" s="1" t="s">
        <v>433</v>
      </c>
      <c r="O169" s="1" t="s">
        <v>428</v>
      </c>
      <c r="P169" s="1" t="s">
        <v>378</v>
      </c>
      <c r="Q169" s="81">
        <v>3900</v>
      </c>
      <c r="R169" s="365">
        <v>45000</v>
      </c>
      <c r="S169" t="s">
        <v>747</v>
      </c>
    </row>
    <row r="170" spans="14:19">
      <c r="N170" s="1" t="s">
        <v>433</v>
      </c>
      <c r="O170" s="80" t="s">
        <v>132</v>
      </c>
      <c r="P170" s="18" t="s">
        <v>202</v>
      </c>
      <c r="Q170" s="81">
        <v>1600</v>
      </c>
      <c r="R170" s="365">
        <v>17500</v>
      </c>
      <c r="S170" t="s">
        <v>747</v>
      </c>
    </row>
    <row r="171" spans="14:19">
      <c r="N171" s="1" t="s">
        <v>433</v>
      </c>
      <c r="O171" s="80" t="s">
        <v>132</v>
      </c>
      <c r="P171" s="18" t="s">
        <v>203</v>
      </c>
      <c r="Q171" s="81">
        <v>2200</v>
      </c>
      <c r="R171" s="365">
        <v>25500</v>
      </c>
      <c r="S171" t="s">
        <v>747</v>
      </c>
    </row>
    <row r="172" spans="14:19">
      <c r="N172" s="1" t="s">
        <v>433</v>
      </c>
      <c r="O172" s="80" t="s">
        <v>132</v>
      </c>
      <c r="P172" s="18" t="s">
        <v>204</v>
      </c>
      <c r="Q172" s="81">
        <v>2900</v>
      </c>
      <c r="R172" s="365">
        <v>34000</v>
      </c>
      <c r="S172" t="s">
        <v>747</v>
      </c>
    </row>
    <row r="173" spans="14:19">
      <c r="N173" s="1" t="s">
        <v>433</v>
      </c>
      <c r="O173" s="80" t="s">
        <v>132</v>
      </c>
      <c r="P173" s="18" t="s">
        <v>206</v>
      </c>
      <c r="Q173" s="81">
        <v>3750</v>
      </c>
      <c r="R173" s="365">
        <v>42000</v>
      </c>
      <c r="S173" t="s">
        <v>747</v>
      </c>
    </row>
    <row r="174" spans="14:19">
      <c r="N174" s="1" t="s">
        <v>433</v>
      </c>
      <c r="O174" s="80" t="s">
        <v>132</v>
      </c>
      <c r="P174" s="1" t="s">
        <v>205</v>
      </c>
      <c r="Q174" s="81">
        <v>4400</v>
      </c>
      <c r="R174" s="365">
        <v>50000</v>
      </c>
      <c r="S174" t="s">
        <v>747</v>
      </c>
    </row>
    <row r="175" spans="14:19">
      <c r="N175" s="1" t="s">
        <v>433</v>
      </c>
      <c r="O175" s="80" t="s">
        <v>132</v>
      </c>
      <c r="P175" s="1" t="s">
        <v>207</v>
      </c>
      <c r="Q175" s="81">
        <v>6800</v>
      </c>
      <c r="R175" s="365">
        <v>75000</v>
      </c>
      <c r="S175" t="s">
        <v>747</v>
      </c>
    </row>
    <row r="176" spans="14:19">
      <c r="N176" s="1" t="s">
        <v>433</v>
      </c>
      <c r="O176" s="1" t="s">
        <v>132</v>
      </c>
      <c r="P176" s="1" t="s">
        <v>208</v>
      </c>
      <c r="Q176" s="81">
        <v>350</v>
      </c>
      <c r="R176" s="365">
        <v>3000</v>
      </c>
      <c r="S176" t="s">
        <v>747</v>
      </c>
    </row>
    <row r="177" spans="14:19">
      <c r="N177" s="1" t="s">
        <v>433</v>
      </c>
      <c r="O177" s="1" t="s">
        <v>132</v>
      </c>
      <c r="P177" s="1" t="s">
        <v>209</v>
      </c>
      <c r="Q177" s="81">
        <v>440</v>
      </c>
      <c r="R177" s="365">
        <v>4500</v>
      </c>
      <c r="S177" t="s">
        <v>747</v>
      </c>
    </row>
    <row r="178" spans="14:19">
      <c r="N178" s="1" t="s">
        <v>433</v>
      </c>
      <c r="O178" s="1" t="s">
        <v>132</v>
      </c>
      <c r="P178" s="1" t="s">
        <v>133</v>
      </c>
      <c r="Q178" s="81">
        <v>640</v>
      </c>
      <c r="R178" s="365">
        <v>7000</v>
      </c>
      <c r="S178" t="s">
        <v>747</v>
      </c>
    </row>
    <row r="179" spans="14:19">
      <c r="N179" s="1" t="s">
        <v>433</v>
      </c>
      <c r="O179" s="1" t="s">
        <v>132</v>
      </c>
      <c r="P179" s="1" t="s">
        <v>134</v>
      </c>
      <c r="Q179" s="81">
        <v>860</v>
      </c>
      <c r="R179" s="365">
        <v>9500</v>
      </c>
      <c r="S179" t="s">
        <v>747</v>
      </c>
    </row>
    <row r="180" spans="14:19">
      <c r="N180" s="1" t="s">
        <v>433</v>
      </c>
      <c r="O180" s="1" t="s">
        <v>132</v>
      </c>
      <c r="P180" s="1" t="s">
        <v>135</v>
      </c>
      <c r="Q180" s="81">
        <v>1000</v>
      </c>
      <c r="R180" s="365">
        <v>11000</v>
      </c>
      <c r="S180" t="s">
        <v>747</v>
      </c>
    </row>
    <row r="181" spans="14:19">
      <c r="N181" s="1" t="s">
        <v>433</v>
      </c>
      <c r="O181" s="1" t="s">
        <v>132</v>
      </c>
      <c r="P181" s="1" t="s">
        <v>210</v>
      </c>
      <c r="Q181" s="81">
        <v>95</v>
      </c>
      <c r="R181" s="365">
        <v>500</v>
      </c>
      <c r="S181" t="s">
        <v>747</v>
      </c>
    </row>
    <row r="182" spans="14:19">
      <c r="N182" s="1" t="s">
        <v>433</v>
      </c>
      <c r="O182" s="1" t="s">
        <v>132</v>
      </c>
      <c r="P182" s="1" t="s">
        <v>211</v>
      </c>
      <c r="Q182" s="81">
        <v>110</v>
      </c>
      <c r="R182" s="365">
        <v>650</v>
      </c>
      <c r="S182" t="s">
        <v>747</v>
      </c>
    </row>
    <row r="183" spans="14:19">
      <c r="N183" s="1" t="s">
        <v>433</v>
      </c>
      <c r="O183" s="1" t="s">
        <v>132</v>
      </c>
      <c r="P183" s="1" t="s">
        <v>136</v>
      </c>
      <c r="Q183" s="81">
        <v>1150</v>
      </c>
      <c r="R183" s="365">
        <v>12000</v>
      </c>
      <c r="S183" t="s">
        <v>747</v>
      </c>
    </row>
    <row r="184" spans="14:19">
      <c r="N184" s="1" t="s">
        <v>433</v>
      </c>
      <c r="O184" s="1" t="s">
        <v>132</v>
      </c>
      <c r="P184" s="1" t="s">
        <v>139</v>
      </c>
      <c r="Q184" s="81">
        <v>860</v>
      </c>
      <c r="R184" s="365">
        <v>9000</v>
      </c>
      <c r="S184" t="s">
        <v>747</v>
      </c>
    </row>
    <row r="185" spans="14:19">
      <c r="N185" s="1" t="s">
        <v>433</v>
      </c>
      <c r="O185" s="1" t="s">
        <v>132</v>
      </c>
      <c r="P185" s="1" t="s">
        <v>137</v>
      </c>
      <c r="Q185" s="81">
        <v>300</v>
      </c>
      <c r="R185" s="365">
        <v>3000</v>
      </c>
      <c r="S185" t="s">
        <v>747</v>
      </c>
    </row>
    <row r="186" spans="14:19">
      <c r="N186" s="1" t="s">
        <v>433</v>
      </c>
      <c r="O186" s="1" t="s">
        <v>132</v>
      </c>
      <c r="P186" s="1" t="s">
        <v>138</v>
      </c>
      <c r="Q186" s="81">
        <v>50</v>
      </c>
      <c r="R186" s="365">
        <v>450</v>
      </c>
      <c r="S186" t="s">
        <v>747</v>
      </c>
    </row>
    <row r="187" spans="14:19">
      <c r="N187" s="1" t="s">
        <v>433</v>
      </c>
      <c r="O187" s="1" t="s">
        <v>132</v>
      </c>
      <c r="P187" s="1" t="s">
        <v>140</v>
      </c>
      <c r="Q187" s="81">
        <v>570</v>
      </c>
      <c r="R187" s="365">
        <v>6000</v>
      </c>
      <c r="S187" t="s">
        <v>747</v>
      </c>
    </row>
    <row r="188" spans="14:19">
      <c r="N188" s="1" t="s">
        <v>433</v>
      </c>
      <c r="O188" s="1" t="s">
        <v>132</v>
      </c>
      <c r="P188" s="1" t="s">
        <v>141</v>
      </c>
      <c r="Q188" s="81">
        <v>925</v>
      </c>
      <c r="R188" s="365">
        <v>10000</v>
      </c>
      <c r="S188" t="s">
        <v>747</v>
      </c>
    </row>
    <row r="189" spans="14:19">
      <c r="S189" t="s">
        <v>747</v>
      </c>
    </row>
    <row r="190" spans="14:19">
      <c r="N190" s="1" t="s">
        <v>439</v>
      </c>
      <c r="O190" s="1" t="s">
        <v>584</v>
      </c>
      <c r="P190" t="s">
        <v>97</v>
      </c>
      <c r="Q190" s="81">
        <v>350</v>
      </c>
      <c r="R190" s="365">
        <v>2884.62</v>
      </c>
      <c r="S190" t="s">
        <v>747</v>
      </c>
    </row>
    <row r="191" spans="14:19">
      <c r="N191" s="1" t="s">
        <v>433</v>
      </c>
      <c r="O191" s="1" t="s">
        <v>142</v>
      </c>
      <c r="P191" s="1" t="s">
        <v>201</v>
      </c>
      <c r="Q191" s="81">
        <v>1250</v>
      </c>
      <c r="R191" s="365">
        <v>13800</v>
      </c>
      <c r="S191" t="s">
        <v>747</v>
      </c>
    </row>
    <row r="192" spans="14:19">
      <c r="S192" t="s">
        <v>747</v>
      </c>
    </row>
    <row r="193" spans="13:19">
      <c r="M193" s="329" t="s">
        <v>775</v>
      </c>
      <c r="N193" s="1" t="s">
        <v>430</v>
      </c>
      <c r="O193" s="1" t="s">
        <v>7</v>
      </c>
      <c r="P193" t="s">
        <v>292</v>
      </c>
      <c r="Q193" s="81">
        <v>8</v>
      </c>
      <c r="R193" s="17">
        <v>97.28</v>
      </c>
      <c r="S193" t="s">
        <v>747</v>
      </c>
    </row>
    <row r="194" spans="13:19">
      <c r="M194" s="329" t="s">
        <v>775</v>
      </c>
      <c r="N194" s="1" t="s">
        <v>430</v>
      </c>
      <c r="O194" s="1" t="s">
        <v>7</v>
      </c>
      <c r="P194" t="s">
        <v>293</v>
      </c>
      <c r="Q194" s="81">
        <v>10</v>
      </c>
      <c r="R194" s="17">
        <v>140</v>
      </c>
      <c r="S194" t="s">
        <v>747</v>
      </c>
    </row>
    <row r="195" spans="13:19">
      <c r="M195" s="329" t="s">
        <v>775</v>
      </c>
      <c r="N195" s="1" t="s">
        <v>430</v>
      </c>
      <c r="O195" s="1" t="s">
        <v>7</v>
      </c>
      <c r="P195" t="s">
        <v>387</v>
      </c>
      <c r="Q195" s="81">
        <v>60</v>
      </c>
      <c r="R195" s="17">
        <v>531.19000000000005</v>
      </c>
      <c r="S195" t="s">
        <v>747</v>
      </c>
    </row>
    <row r="196" spans="13:19">
      <c r="M196" s="329" t="s">
        <v>775</v>
      </c>
      <c r="N196" s="1" t="s">
        <v>430</v>
      </c>
      <c r="O196" s="1" t="s">
        <v>7</v>
      </c>
      <c r="P196" t="s">
        <v>838</v>
      </c>
      <c r="Q196" s="81">
        <f>Q195/2</f>
        <v>30</v>
      </c>
      <c r="R196">
        <v>265.59500000000003</v>
      </c>
      <c r="S196" t="s">
        <v>747</v>
      </c>
    </row>
    <row r="197" spans="13:19">
      <c r="M197" s="329" t="s">
        <v>775</v>
      </c>
      <c r="N197" s="1" t="s">
        <v>430</v>
      </c>
      <c r="O197" s="1" t="s">
        <v>7</v>
      </c>
      <c r="P197" t="s">
        <v>388</v>
      </c>
      <c r="Q197" s="81">
        <v>75</v>
      </c>
      <c r="R197" s="17">
        <v>635.70000000000005</v>
      </c>
      <c r="S197" t="s">
        <v>747</v>
      </c>
    </row>
    <row r="198" spans="13:19">
      <c r="M198" s="329" t="s">
        <v>775</v>
      </c>
      <c r="N198" s="1" t="s">
        <v>430</v>
      </c>
      <c r="O198" s="1" t="s">
        <v>7</v>
      </c>
      <c r="P198" t="s">
        <v>839</v>
      </c>
      <c r="Q198" s="81">
        <v>37.5</v>
      </c>
      <c r="R198">
        <f>R197/2</f>
        <v>317.85000000000002</v>
      </c>
      <c r="S198" t="s">
        <v>747</v>
      </c>
    </row>
    <row r="199" spans="13:19">
      <c r="M199" s="329" t="s">
        <v>775</v>
      </c>
      <c r="N199" s="1" t="s">
        <v>430</v>
      </c>
      <c r="O199" s="1" t="s">
        <v>7</v>
      </c>
      <c r="P199" t="s">
        <v>389</v>
      </c>
      <c r="Q199" s="81">
        <v>110</v>
      </c>
      <c r="R199" s="17">
        <v>1194.3900000000001</v>
      </c>
      <c r="S199" t="s">
        <v>747</v>
      </c>
    </row>
    <row r="200" spans="13:19">
      <c r="M200" s="329" t="s">
        <v>775</v>
      </c>
      <c r="N200" s="1" t="s">
        <v>430</v>
      </c>
      <c r="O200" s="1" t="s">
        <v>7</v>
      </c>
      <c r="P200" t="s">
        <v>840</v>
      </c>
      <c r="Q200" s="81">
        <v>55</v>
      </c>
      <c r="R200">
        <f>R199/2</f>
        <v>597.19500000000005</v>
      </c>
      <c r="S200" t="s">
        <v>747</v>
      </c>
    </row>
    <row r="201" spans="13:19">
      <c r="M201" s="329" t="s">
        <v>775</v>
      </c>
      <c r="N201" s="1" t="s">
        <v>430</v>
      </c>
      <c r="O201" s="1" t="s">
        <v>7</v>
      </c>
      <c r="P201" t="s">
        <v>390</v>
      </c>
      <c r="Q201" s="81">
        <v>60</v>
      </c>
      <c r="R201" s="17">
        <v>545.04</v>
      </c>
      <c r="S201" t="s">
        <v>747</v>
      </c>
    </row>
    <row r="202" spans="13:19">
      <c r="M202" s="329" t="s">
        <v>775</v>
      </c>
      <c r="N202" s="1" t="s">
        <v>430</v>
      </c>
      <c r="O202" s="1" t="s">
        <v>7</v>
      </c>
      <c r="P202" t="s">
        <v>841</v>
      </c>
      <c r="Q202" s="81">
        <v>30</v>
      </c>
      <c r="R202">
        <f>R201/2</f>
        <v>272.52</v>
      </c>
      <c r="S202" t="s">
        <v>747</v>
      </c>
    </row>
    <row r="203" spans="13:19">
      <c r="M203" s="329" t="s">
        <v>775</v>
      </c>
      <c r="N203" s="1" t="s">
        <v>430</v>
      </c>
      <c r="O203" s="1" t="s">
        <v>7</v>
      </c>
      <c r="P203" t="s">
        <v>391</v>
      </c>
      <c r="Q203" s="81">
        <v>60</v>
      </c>
      <c r="R203" s="17">
        <v>539.5</v>
      </c>
      <c r="S203" t="s">
        <v>747</v>
      </c>
    </row>
    <row r="204" spans="13:19">
      <c r="M204" s="329" t="s">
        <v>775</v>
      </c>
      <c r="N204" s="1" t="s">
        <v>430</v>
      </c>
      <c r="O204" s="1" t="s">
        <v>7</v>
      </c>
      <c r="P204" t="s">
        <v>842</v>
      </c>
      <c r="Q204" s="81">
        <v>30</v>
      </c>
      <c r="R204">
        <f>R203/2</f>
        <v>269.75</v>
      </c>
      <c r="S204" t="s">
        <v>747</v>
      </c>
    </row>
    <row r="205" spans="13:19">
      <c r="M205" s="329" t="s">
        <v>775</v>
      </c>
      <c r="N205" s="1" t="s">
        <v>430</v>
      </c>
      <c r="O205" s="1" t="s">
        <v>7</v>
      </c>
      <c r="P205" t="s">
        <v>392</v>
      </c>
      <c r="Q205" s="81">
        <v>75</v>
      </c>
      <c r="R205" s="17">
        <v>564.53</v>
      </c>
      <c r="S205" t="s">
        <v>747</v>
      </c>
    </row>
    <row r="206" spans="13:19">
      <c r="M206" s="329" t="s">
        <v>775</v>
      </c>
      <c r="N206" s="1" t="s">
        <v>430</v>
      </c>
      <c r="O206" s="1" t="s">
        <v>7</v>
      </c>
      <c r="P206" t="s">
        <v>393</v>
      </c>
      <c r="Q206" s="81">
        <v>65</v>
      </c>
      <c r="R206" s="17">
        <v>229.36</v>
      </c>
      <c r="S206" t="s">
        <v>747</v>
      </c>
    </row>
    <row r="207" spans="13:19">
      <c r="M207" s="329" t="s">
        <v>775</v>
      </c>
      <c r="N207" s="1" t="s">
        <v>430</v>
      </c>
      <c r="O207" s="1" t="s">
        <v>7</v>
      </c>
      <c r="P207" t="s">
        <v>394</v>
      </c>
      <c r="Q207" s="81">
        <v>60</v>
      </c>
      <c r="R207" s="17">
        <v>315.20999999999998</v>
      </c>
      <c r="S207" t="s">
        <v>747</v>
      </c>
    </row>
    <row r="208" spans="13:19">
      <c r="M208" s="329" t="s">
        <v>775</v>
      </c>
      <c r="N208" s="1" t="s">
        <v>430</v>
      </c>
      <c r="O208" s="1" t="s">
        <v>7</v>
      </c>
      <c r="P208" t="s">
        <v>395</v>
      </c>
      <c r="Q208" s="81">
        <v>55</v>
      </c>
      <c r="R208" s="17">
        <v>494.51</v>
      </c>
      <c r="S208" t="s">
        <v>747</v>
      </c>
    </row>
    <row r="209" spans="13:20">
      <c r="M209" s="329" t="s">
        <v>775</v>
      </c>
      <c r="N209" s="1" t="s">
        <v>430</v>
      </c>
      <c r="O209" s="1" t="s">
        <v>7</v>
      </c>
      <c r="P209" t="s">
        <v>396</v>
      </c>
      <c r="Q209" s="81">
        <v>50</v>
      </c>
      <c r="R209" s="17">
        <v>460.04</v>
      </c>
      <c r="S209" t="s">
        <v>747</v>
      </c>
    </row>
    <row r="210" spans="13:20">
      <c r="M210" s="329" t="s">
        <v>775</v>
      </c>
      <c r="N210" s="1" t="s">
        <v>430</v>
      </c>
      <c r="O210" s="1" t="s">
        <v>7</v>
      </c>
      <c r="P210" t="s">
        <v>397</v>
      </c>
      <c r="Q210" s="81">
        <v>40</v>
      </c>
      <c r="R210" s="17">
        <v>345.98</v>
      </c>
      <c r="S210" t="s">
        <v>747</v>
      </c>
    </row>
    <row r="211" spans="13:20">
      <c r="M211" s="329" t="s">
        <v>775</v>
      </c>
      <c r="N211" s="1" t="s">
        <v>430</v>
      </c>
      <c r="O211" s="1" t="s">
        <v>7</v>
      </c>
      <c r="P211" t="s">
        <v>398</v>
      </c>
      <c r="Q211" s="81">
        <v>40</v>
      </c>
      <c r="R211" s="17">
        <v>341.82</v>
      </c>
      <c r="S211" t="s">
        <v>747</v>
      </c>
    </row>
    <row r="212" spans="13:20">
      <c r="M212" s="329" t="s">
        <v>775</v>
      </c>
      <c r="N212" s="1" t="s">
        <v>430</v>
      </c>
      <c r="O212" s="1" t="s">
        <v>7</v>
      </c>
      <c r="P212" t="s">
        <v>399</v>
      </c>
      <c r="Q212" s="81">
        <v>40</v>
      </c>
      <c r="R212" s="17">
        <v>353.37</v>
      </c>
      <c r="S212" t="s">
        <v>747</v>
      </c>
    </row>
    <row r="213" spans="13:20">
      <c r="M213" s="329" t="s">
        <v>775</v>
      </c>
      <c r="N213" s="1" t="s">
        <v>430</v>
      </c>
      <c r="O213" s="1" t="s">
        <v>7</v>
      </c>
      <c r="P213" t="s">
        <v>400</v>
      </c>
      <c r="Q213" s="81">
        <v>55</v>
      </c>
      <c r="R213" s="17">
        <v>525.79</v>
      </c>
      <c r="S213" t="s">
        <v>747</v>
      </c>
    </row>
    <row r="214" spans="13:20">
      <c r="M214" s="329" t="s">
        <v>775</v>
      </c>
      <c r="N214" s="1" t="s">
        <v>430</v>
      </c>
      <c r="O214" s="1" t="s">
        <v>7</v>
      </c>
      <c r="P214" t="s">
        <v>401</v>
      </c>
      <c r="Q214" s="81">
        <v>65</v>
      </c>
      <c r="R214" s="17">
        <v>586.57000000000005</v>
      </c>
      <c r="S214" t="s">
        <v>747</v>
      </c>
    </row>
    <row r="215" spans="13:20">
      <c r="M215" s="329" t="s">
        <v>775</v>
      </c>
      <c r="N215" s="1" t="s">
        <v>430</v>
      </c>
      <c r="O215" s="1" t="s">
        <v>7</v>
      </c>
      <c r="P215" t="s">
        <v>402</v>
      </c>
      <c r="Q215" s="81">
        <v>55</v>
      </c>
      <c r="R215" s="17">
        <v>520.78</v>
      </c>
      <c r="S215" t="s">
        <v>747</v>
      </c>
    </row>
    <row r="216" spans="13:20">
      <c r="M216" s="329" t="s">
        <v>775</v>
      </c>
      <c r="N216" s="1" t="s">
        <v>430</v>
      </c>
      <c r="O216" s="1" t="s">
        <v>7</v>
      </c>
      <c r="P216" t="s">
        <v>403</v>
      </c>
      <c r="Q216" s="81">
        <v>60</v>
      </c>
      <c r="R216" s="17">
        <v>566.95000000000005</v>
      </c>
      <c r="S216" t="s">
        <v>747</v>
      </c>
    </row>
    <row r="217" spans="13:20">
      <c r="M217" s="329" t="s">
        <v>775</v>
      </c>
      <c r="N217" s="1" t="s">
        <v>430</v>
      </c>
      <c r="O217" s="1" t="s">
        <v>7</v>
      </c>
      <c r="P217" t="s">
        <v>308</v>
      </c>
      <c r="Q217" s="81">
        <v>40</v>
      </c>
      <c r="R217" s="17">
        <v>366.87</v>
      </c>
      <c r="S217" t="s">
        <v>747</v>
      </c>
    </row>
    <row r="218" spans="13:20">
      <c r="M218" s="329" t="s">
        <v>775</v>
      </c>
      <c r="N218" s="1" t="s">
        <v>430</v>
      </c>
      <c r="O218" s="1" t="s">
        <v>7</v>
      </c>
      <c r="P218" t="s">
        <v>309</v>
      </c>
      <c r="Q218" s="81">
        <v>25</v>
      </c>
      <c r="R218" s="17">
        <v>120.83</v>
      </c>
      <c r="S218" t="s">
        <v>747</v>
      </c>
    </row>
    <row r="219" spans="13:20">
      <c r="M219" s="329" t="s">
        <v>775</v>
      </c>
      <c r="N219" s="1" t="s">
        <v>430</v>
      </c>
      <c r="O219" s="1" t="s">
        <v>7</v>
      </c>
      <c r="P219" t="s">
        <v>312</v>
      </c>
      <c r="Q219" s="81">
        <v>7</v>
      </c>
      <c r="R219" s="17">
        <v>60</v>
      </c>
      <c r="S219" t="s">
        <v>747</v>
      </c>
    </row>
    <row r="220" spans="13:20">
      <c r="M220" s="329" t="s">
        <v>775</v>
      </c>
      <c r="N220" s="1" t="s">
        <v>430</v>
      </c>
      <c r="O220" s="1" t="s">
        <v>7</v>
      </c>
      <c r="P220" t="s">
        <v>311</v>
      </c>
      <c r="Q220" s="81">
        <v>10</v>
      </c>
      <c r="R220" s="17">
        <v>64.489999999999995</v>
      </c>
      <c r="S220" t="s">
        <v>747</v>
      </c>
    </row>
    <row r="221" spans="13:20">
      <c r="M221" s="329" t="s">
        <v>775</v>
      </c>
      <c r="N221" s="1" t="s">
        <v>430</v>
      </c>
      <c r="O221" s="1" t="s">
        <v>7</v>
      </c>
      <c r="P221" t="s">
        <v>313</v>
      </c>
      <c r="Q221" s="81">
        <v>120</v>
      </c>
      <c r="R221" s="17">
        <v>38.159999999999997</v>
      </c>
      <c r="S221" t="s">
        <v>747</v>
      </c>
      <c r="T221">
        <v>1</v>
      </c>
    </row>
    <row r="222" spans="13:20">
      <c r="M222" s="329" t="s">
        <v>775</v>
      </c>
      <c r="N222" s="1" t="s">
        <v>430</v>
      </c>
      <c r="O222" s="1" t="s">
        <v>7</v>
      </c>
      <c r="P222" t="s">
        <v>314</v>
      </c>
      <c r="Q222" s="81">
        <v>10</v>
      </c>
      <c r="R222" s="17">
        <v>57.28</v>
      </c>
      <c r="S222" t="s">
        <v>747</v>
      </c>
    </row>
    <row r="223" spans="13:20">
      <c r="M223" s="329" t="s">
        <v>775</v>
      </c>
      <c r="N223" s="1" t="s">
        <v>430</v>
      </c>
      <c r="O223" s="1" t="s">
        <v>7</v>
      </c>
      <c r="P223" t="s">
        <v>315</v>
      </c>
      <c r="Q223" s="81">
        <v>7</v>
      </c>
      <c r="R223" s="17">
        <v>35.42</v>
      </c>
      <c r="S223" t="s">
        <v>747</v>
      </c>
    </row>
    <row r="224" spans="13:20">
      <c r="M224" s="329" t="s">
        <v>775</v>
      </c>
      <c r="N224" s="1" t="s">
        <v>430</v>
      </c>
      <c r="O224" s="1" t="s">
        <v>7</v>
      </c>
      <c r="P224" t="s">
        <v>316</v>
      </c>
      <c r="Q224" s="81">
        <v>5</v>
      </c>
      <c r="R224" s="17">
        <v>30.34</v>
      </c>
      <c r="S224" t="s">
        <v>747</v>
      </c>
    </row>
    <row r="225" spans="13:20">
      <c r="M225" s="329" t="s">
        <v>775</v>
      </c>
      <c r="N225" s="1" t="s">
        <v>430</v>
      </c>
      <c r="O225" s="1" t="s">
        <v>7</v>
      </c>
      <c r="P225" t="s">
        <v>317</v>
      </c>
      <c r="Q225" s="81">
        <v>5</v>
      </c>
      <c r="R225" s="17">
        <v>40.229999999999997</v>
      </c>
      <c r="S225" t="s">
        <v>747</v>
      </c>
    </row>
    <row r="226" spans="13:20">
      <c r="M226" s="329" t="s">
        <v>775</v>
      </c>
      <c r="N226" s="1" t="s">
        <v>430</v>
      </c>
      <c r="O226" s="1" t="s">
        <v>7</v>
      </c>
      <c r="P226" t="s">
        <v>318</v>
      </c>
      <c r="Q226" s="81">
        <v>5</v>
      </c>
      <c r="R226" s="17">
        <v>60.81</v>
      </c>
      <c r="S226" t="s">
        <v>747</v>
      </c>
    </row>
    <row r="227" spans="13:20">
      <c r="M227" s="329" t="s">
        <v>775</v>
      </c>
      <c r="N227" s="1" t="s">
        <v>430</v>
      </c>
      <c r="O227" s="1" t="s">
        <v>7</v>
      </c>
      <c r="P227" t="s">
        <v>319</v>
      </c>
      <c r="Q227" s="81">
        <v>7.5</v>
      </c>
      <c r="R227" s="17">
        <v>48.4</v>
      </c>
      <c r="S227" t="s">
        <v>747</v>
      </c>
    </row>
    <row r="228" spans="13:20">
      <c r="M228" s="329" t="s">
        <v>775</v>
      </c>
      <c r="N228" s="1" t="s">
        <v>430</v>
      </c>
      <c r="O228" s="1" t="s">
        <v>7</v>
      </c>
      <c r="P228" t="s">
        <v>320</v>
      </c>
      <c r="Q228" s="81">
        <v>5</v>
      </c>
      <c r="R228" s="17">
        <v>50.99</v>
      </c>
      <c r="S228" t="s">
        <v>747</v>
      </c>
    </row>
    <row r="229" spans="13:20">
      <c r="M229" s="329" t="s">
        <v>775</v>
      </c>
      <c r="N229" s="1" t="s">
        <v>430</v>
      </c>
      <c r="O229" s="1" t="s">
        <v>7</v>
      </c>
      <c r="P229" t="s">
        <v>321</v>
      </c>
      <c r="Q229" s="81">
        <v>10</v>
      </c>
      <c r="R229" s="17">
        <v>59.49</v>
      </c>
      <c r="S229" t="s">
        <v>747</v>
      </c>
    </row>
    <row r="230" spans="13:20">
      <c r="M230" s="329" t="s">
        <v>775</v>
      </c>
      <c r="N230" s="1" t="s">
        <v>430</v>
      </c>
      <c r="O230" s="1" t="s">
        <v>7</v>
      </c>
      <c r="P230" t="s">
        <v>322</v>
      </c>
      <c r="Q230" s="81">
        <v>8</v>
      </c>
      <c r="R230" s="17">
        <v>52.88</v>
      </c>
      <c r="S230" t="s">
        <v>747</v>
      </c>
    </row>
    <row r="231" spans="13:20">
      <c r="M231" s="329" t="s">
        <v>775</v>
      </c>
      <c r="N231" s="1" t="s">
        <v>430</v>
      </c>
      <c r="O231" s="1" t="s">
        <v>7</v>
      </c>
      <c r="P231" t="s">
        <v>323</v>
      </c>
      <c r="Q231" s="81">
        <v>5</v>
      </c>
      <c r="R231" s="17">
        <v>15.69</v>
      </c>
      <c r="S231" t="s">
        <v>747</v>
      </c>
    </row>
    <row r="232" spans="13:20">
      <c r="M232" s="329" t="s">
        <v>775</v>
      </c>
      <c r="N232" s="1" t="s">
        <v>430</v>
      </c>
      <c r="O232" s="1" t="s">
        <v>7</v>
      </c>
      <c r="P232" t="s">
        <v>324</v>
      </c>
      <c r="Q232" s="81">
        <v>2</v>
      </c>
      <c r="R232" s="17">
        <v>11.34</v>
      </c>
      <c r="S232" t="s">
        <v>747</v>
      </c>
    </row>
    <row r="233" spans="13:20">
      <c r="M233" s="329" t="s">
        <v>775</v>
      </c>
      <c r="N233" s="1" t="s">
        <v>430</v>
      </c>
      <c r="O233" s="1" t="s">
        <v>7</v>
      </c>
      <c r="P233" t="s">
        <v>325</v>
      </c>
      <c r="Q233" s="81">
        <v>90</v>
      </c>
      <c r="R233" s="17">
        <v>540</v>
      </c>
      <c r="S233" t="s">
        <v>747</v>
      </c>
    </row>
    <row r="234" spans="13:20">
      <c r="M234" s="329" t="s">
        <v>775</v>
      </c>
      <c r="N234" s="1" t="s">
        <v>430</v>
      </c>
      <c r="O234" s="1" t="s">
        <v>7</v>
      </c>
      <c r="P234" t="s">
        <v>326</v>
      </c>
      <c r="Q234" s="81">
        <v>150</v>
      </c>
      <c r="R234" s="17">
        <v>1500</v>
      </c>
      <c r="S234" t="s">
        <v>747</v>
      </c>
      <c r="T234">
        <v>1</v>
      </c>
    </row>
    <row r="235" spans="13:20">
      <c r="M235" s="329" t="s">
        <v>775</v>
      </c>
      <c r="N235" s="1" t="s">
        <v>430</v>
      </c>
      <c r="O235" s="1" t="s">
        <v>7</v>
      </c>
      <c r="P235" t="s">
        <v>327</v>
      </c>
      <c r="Q235" s="81">
        <v>250</v>
      </c>
      <c r="R235" s="17">
        <v>2833.21</v>
      </c>
      <c r="S235" t="s">
        <v>747</v>
      </c>
      <c r="T235">
        <v>1</v>
      </c>
    </row>
    <row r="236" spans="13:20">
      <c r="M236" s="329" t="s">
        <v>775</v>
      </c>
      <c r="N236" s="1" t="s">
        <v>430</v>
      </c>
      <c r="O236" s="1" t="s">
        <v>7</v>
      </c>
      <c r="P236" t="s">
        <v>328</v>
      </c>
      <c r="Q236" s="81">
        <v>300</v>
      </c>
      <c r="R236" s="17">
        <v>3353.01</v>
      </c>
      <c r="S236" t="s">
        <v>747</v>
      </c>
      <c r="T236">
        <v>1</v>
      </c>
    </row>
    <row r="237" spans="13:20">
      <c r="M237" s="329" t="s">
        <v>775</v>
      </c>
      <c r="N237" s="1" t="s">
        <v>430</v>
      </c>
      <c r="O237" s="1" t="s">
        <v>7</v>
      </c>
      <c r="P237" t="s">
        <v>329</v>
      </c>
      <c r="Q237" s="81">
        <v>380</v>
      </c>
      <c r="R237" s="17">
        <v>4522.1099999999997</v>
      </c>
      <c r="S237" t="s">
        <v>747</v>
      </c>
      <c r="T237">
        <v>1</v>
      </c>
    </row>
    <row r="238" spans="13:20">
      <c r="M238" s="329" t="s">
        <v>775</v>
      </c>
      <c r="N238" s="1" t="s">
        <v>430</v>
      </c>
      <c r="O238" s="1" t="s">
        <v>7</v>
      </c>
      <c r="P238" t="s">
        <v>310</v>
      </c>
      <c r="Q238" s="81">
        <v>25</v>
      </c>
      <c r="R238" s="17">
        <v>125.52</v>
      </c>
      <c r="S238" t="s">
        <v>747</v>
      </c>
    </row>
    <row r="240" spans="13:20">
      <c r="M240" s="329" t="s">
        <v>770</v>
      </c>
      <c r="N240" s="1" t="s">
        <v>438</v>
      </c>
      <c r="O240" s="1" t="s">
        <v>7</v>
      </c>
      <c r="P240" t="s">
        <v>447</v>
      </c>
      <c r="Q240" s="81">
        <v>0</v>
      </c>
      <c r="R240">
        <v>5</v>
      </c>
      <c r="S240" t="s">
        <v>21</v>
      </c>
    </row>
    <row r="241" spans="13:19">
      <c r="M241" s="329" t="s">
        <v>770</v>
      </c>
      <c r="N241" s="1" t="s">
        <v>438</v>
      </c>
      <c r="O241" s="1" t="s">
        <v>7</v>
      </c>
      <c r="P241" t="s">
        <v>448</v>
      </c>
      <c r="Q241" s="81">
        <v>15</v>
      </c>
      <c r="S241" t="s">
        <v>21</v>
      </c>
    </row>
    <row r="242" spans="13:19">
      <c r="M242" s="329" t="s">
        <v>770</v>
      </c>
      <c r="N242" s="1" t="s">
        <v>438</v>
      </c>
      <c r="P242" t="s">
        <v>425</v>
      </c>
      <c r="Q242" s="81">
        <v>15</v>
      </c>
      <c r="R242">
        <v>5</v>
      </c>
      <c r="S242" t="s">
        <v>21</v>
      </c>
    </row>
    <row r="244" spans="13:19">
      <c r="M244" s="329" t="s">
        <v>775</v>
      </c>
      <c r="N244" s="1" t="s">
        <v>430</v>
      </c>
      <c r="O244" s="1" t="s">
        <v>7</v>
      </c>
      <c r="P244" t="s">
        <v>788</v>
      </c>
      <c r="R244" s="17">
        <v>65</v>
      </c>
      <c r="S244" t="s">
        <v>747</v>
      </c>
    </row>
    <row r="245" spans="13:19">
      <c r="M245" s="329" t="s">
        <v>775</v>
      </c>
      <c r="N245" s="1" t="s">
        <v>430</v>
      </c>
      <c r="O245" s="1" t="s">
        <v>7</v>
      </c>
      <c r="P245" t="s">
        <v>789</v>
      </c>
      <c r="R245" s="17">
        <v>195</v>
      </c>
      <c r="S245" t="s">
        <v>747</v>
      </c>
    </row>
    <row r="246" spans="13:19">
      <c r="M246" s="329" t="s">
        <v>775</v>
      </c>
      <c r="N246" s="1" t="s">
        <v>430</v>
      </c>
      <c r="O246" s="1" t="s">
        <v>7</v>
      </c>
      <c r="P246" t="s">
        <v>790</v>
      </c>
      <c r="R246" s="17">
        <v>90</v>
      </c>
      <c r="S246" t="s">
        <v>747</v>
      </c>
    </row>
    <row r="247" spans="13:19">
      <c r="M247" s="329" t="s">
        <v>775</v>
      </c>
      <c r="N247" s="1" t="s">
        <v>430</v>
      </c>
      <c r="O247" s="1" t="s">
        <v>7</v>
      </c>
      <c r="P247" t="s">
        <v>793</v>
      </c>
      <c r="R247" s="17">
        <v>25.23</v>
      </c>
      <c r="S247" t="s">
        <v>747</v>
      </c>
    </row>
    <row r="248" spans="13:19">
      <c r="M248" s="329" t="s">
        <v>770</v>
      </c>
      <c r="N248" s="1" t="s">
        <v>438</v>
      </c>
      <c r="O248" s="1" t="s">
        <v>7</v>
      </c>
      <c r="P248" t="s">
        <v>773</v>
      </c>
      <c r="R248" s="17">
        <v>5</v>
      </c>
      <c r="S248" t="s">
        <v>21</v>
      </c>
    </row>
    <row r="250" spans="13:19">
      <c r="N250" s="1" t="s">
        <v>435</v>
      </c>
      <c r="O250" t="str">
        <f>P250&amp;" - Vendor Fee"</f>
        <v>Cores Films - Vendor Fee</v>
      </c>
      <c r="P250" t="s">
        <v>240</v>
      </c>
      <c r="Q250" s="81">
        <v>1000</v>
      </c>
    </row>
    <row r="251" spans="13:19">
      <c r="N251" s="1" t="s">
        <v>435</v>
      </c>
      <c r="O251" t="str">
        <f>P251&amp;" - Vendor Fee"</f>
        <v>Jamie Dimitry - Vendor Fee</v>
      </c>
      <c r="P251" t="s">
        <v>241</v>
      </c>
      <c r="Q251" s="81">
        <v>1000</v>
      </c>
    </row>
    <row r="252" spans="13:19">
      <c r="N252" s="1" t="s">
        <v>435</v>
      </c>
      <c r="O252" t="str">
        <f>P252&amp;" - Vendor Fee"</f>
        <v>Outside Vendor - Vendor Fee</v>
      </c>
      <c r="P252" t="s">
        <v>242</v>
      </c>
      <c r="Q252" s="81">
        <v>1000</v>
      </c>
    </row>
    <row r="253" spans="13:19">
      <c r="N253" s="1" t="s">
        <v>436</v>
      </c>
      <c r="P253" t="s">
        <v>239</v>
      </c>
    </row>
    <row r="254" spans="13:19">
      <c r="N254" s="1" t="s">
        <v>433</v>
      </c>
      <c r="O254" t="str">
        <f>P254&amp;" - Vendor Fee"</f>
        <v>Hair &amp; Makeup - Vendor Fee</v>
      </c>
      <c r="P254" t="s">
        <v>238</v>
      </c>
      <c r="Q254" s="81">
        <v>1000</v>
      </c>
    </row>
    <row r="255" spans="13:19">
      <c r="N255" s="1" t="s">
        <v>433</v>
      </c>
      <c r="O255" t="str">
        <f>P255&amp;" - Vendor Fee"</f>
        <v>DJ / Audiovisual - Vendor Fee</v>
      </c>
      <c r="P255" t="s">
        <v>368</v>
      </c>
      <c r="Q255" s="81">
        <v>1000</v>
      </c>
    </row>
    <row r="256" spans="13:19">
      <c r="N256" s="1" t="s">
        <v>433</v>
      </c>
      <c r="O256" t="str">
        <f>P256&amp;" - Vendor Fee"</f>
        <v>Florist - Vendor Fee</v>
      </c>
      <c r="P256" t="s">
        <v>369</v>
      </c>
      <c r="Q256" s="81">
        <v>1000</v>
      </c>
    </row>
    <row r="257" spans="14:17">
      <c r="N257" s="1" t="s">
        <v>433</v>
      </c>
      <c r="O257" t="str">
        <f>P257&amp;" - Vendor Fee"</f>
        <v>Live Music - Vendor Fee</v>
      </c>
      <c r="P257" t="s">
        <v>370</v>
      </c>
      <c r="Q257" s="81">
        <v>1000</v>
      </c>
    </row>
    <row r="258" spans="14:17">
      <c r="N258" s="1" t="s">
        <v>433</v>
      </c>
      <c r="O258" t="str">
        <f>P258&amp;" - Vendor Fee"</f>
        <v>Wedding Planner - Vendor Fee</v>
      </c>
      <c r="P258" t="s">
        <v>371</v>
      </c>
      <c r="Q258" s="81">
        <v>1000</v>
      </c>
    </row>
    <row r="260" spans="14:17">
      <c r="N260" s="1" t="s">
        <v>444</v>
      </c>
      <c r="P260" t="s">
        <v>417</v>
      </c>
      <c r="Q260" s="81">
        <v>600</v>
      </c>
    </row>
    <row r="261" spans="14:17">
      <c r="N261" s="1" t="s">
        <v>433</v>
      </c>
      <c r="P261" t="s">
        <v>418</v>
      </c>
      <c r="Q261" s="81">
        <v>600</v>
      </c>
    </row>
    <row r="263" spans="14:17">
      <c r="N263" s="1" t="s">
        <v>444</v>
      </c>
      <c r="P263" t="s">
        <v>602</v>
      </c>
      <c r="Q263" s="81">
        <v>500</v>
      </c>
    </row>
    <row r="264" spans="14:17">
      <c r="N264" s="1" t="s">
        <v>433</v>
      </c>
      <c r="P264" t="s">
        <v>603</v>
      </c>
      <c r="Q264" s="81">
        <v>500</v>
      </c>
    </row>
    <row r="266" spans="14:17">
      <c r="N266" s="1" t="s">
        <v>433</v>
      </c>
      <c r="P266" t="s">
        <v>422</v>
      </c>
      <c r="Q266" s="81">
        <v>4</v>
      </c>
    </row>
    <row r="268" spans="14:17">
      <c r="N268" t="s">
        <v>441</v>
      </c>
      <c r="P268" t="s">
        <v>64</v>
      </c>
      <c r="Q268" s="81">
        <v>1700</v>
      </c>
    </row>
    <row r="269" spans="14:17">
      <c r="N269" t="s">
        <v>441</v>
      </c>
      <c r="P269" t="s">
        <v>384</v>
      </c>
      <c r="Q269" s="81">
        <v>1700</v>
      </c>
    </row>
    <row r="270" spans="14:17">
      <c r="N270" t="s">
        <v>441</v>
      </c>
      <c r="P270" t="s">
        <v>275</v>
      </c>
      <c r="Q270" s="81">
        <v>1700</v>
      </c>
    </row>
    <row r="272" spans="14:17">
      <c r="N272" s="1" t="s">
        <v>20</v>
      </c>
      <c r="P272" t="s">
        <v>854</v>
      </c>
      <c r="Q272" s="3">
        <v>1250</v>
      </c>
    </row>
    <row r="273" spans="14:17">
      <c r="N273" s="1" t="s">
        <v>20</v>
      </c>
      <c r="P273" t="s">
        <v>852</v>
      </c>
      <c r="Q273" s="3">
        <v>1750</v>
      </c>
    </row>
    <row r="274" spans="14:17">
      <c r="N274" s="1" t="s">
        <v>20</v>
      </c>
      <c r="P274" t="s">
        <v>853</v>
      </c>
      <c r="Q274" s="3">
        <v>1750</v>
      </c>
    </row>
  </sheetData>
  <mergeCells count="1">
    <mergeCell ref="X4:Z4"/>
  </mergeCells>
  <phoneticPr fontId="1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54722-7435-406A-BC81-48E5131D7E20}">
  <sheetPr codeName="Hoja6">
    <tabColor rgb="FFFF0000"/>
  </sheetPr>
  <dimension ref="A1:L234"/>
  <sheetViews>
    <sheetView workbookViewId="0">
      <selection activeCell="H8" sqref="H8"/>
    </sheetView>
  </sheetViews>
  <sheetFormatPr baseColWidth="10" defaultRowHeight="15"/>
  <cols>
    <col min="1" max="1" width="22.28515625" bestFit="1" customWidth="1"/>
    <col min="3" max="3" width="19" customWidth="1"/>
    <col min="5" max="5" width="23.7109375" bestFit="1" customWidth="1"/>
    <col min="6" max="6" width="12.5703125" customWidth="1"/>
    <col min="9" max="9" width="19.28515625" customWidth="1"/>
  </cols>
  <sheetData>
    <row r="1" spans="1:12">
      <c r="A1" s="34" t="s">
        <v>360</v>
      </c>
      <c r="B1" s="529" t="s">
        <v>851</v>
      </c>
      <c r="C1" s="529"/>
      <c r="D1" s="529"/>
      <c r="E1" s="18"/>
      <c r="F1" s="18"/>
      <c r="G1" s="18"/>
      <c r="H1" s="18"/>
      <c r="I1" s="18"/>
      <c r="J1" s="18"/>
      <c r="K1" s="18"/>
      <c r="L1" s="18"/>
    </row>
    <row r="2" spans="1:12">
      <c r="A2" s="34" t="s">
        <v>451</v>
      </c>
      <c r="B2" s="535" t="str">
        <f>Planner!$C$6 &amp; " &amp; " &amp; Planner!$C$7</f>
        <v xml:space="preserve"> &amp; </v>
      </c>
      <c r="C2" s="535"/>
      <c r="D2" s="535"/>
      <c r="E2" s="18"/>
      <c r="F2" s="18"/>
      <c r="G2" s="18"/>
      <c r="H2" s="18"/>
      <c r="I2" s="18"/>
      <c r="J2" s="18"/>
      <c r="K2" s="18"/>
      <c r="L2" s="18"/>
    </row>
    <row r="3" spans="1:12">
      <c r="A3" s="34" t="s">
        <v>478</v>
      </c>
      <c r="B3" s="72" t="str">
        <f>Planner!$C$5</f>
        <v>MM/DD/YY</v>
      </c>
      <c r="C3" s="18"/>
      <c r="D3" s="18"/>
      <c r="E3" s="37"/>
      <c r="F3" s="34" t="s">
        <v>452</v>
      </c>
      <c r="G3" s="34" t="s">
        <v>479</v>
      </c>
      <c r="H3" s="34" t="s">
        <v>358</v>
      </c>
      <c r="I3" s="18"/>
      <c r="J3" s="34" t="s">
        <v>450</v>
      </c>
      <c r="K3" s="34" t="s">
        <v>358</v>
      </c>
      <c r="L3" s="34" t="s">
        <v>454</v>
      </c>
    </row>
    <row r="4" spans="1:12">
      <c r="A4" s="34" t="s">
        <v>480</v>
      </c>
      <c r="B4" s="56">
        <f>Planner!$G$12</f>
        <v>0</v>
      </c>
      <c r="C4" s="37" t="s">
        <v>481</v>
      </c>
      <c r="D4" s="72" t="str">
        <f>Planner!$C$10</f>
        <v>MM/DD/YY</v>
      </c>
      <c r="E4" s="73" t="s">
        <v>482</v>
      </c>
      <c r="F4" s="38">
        <f>Planner!$C$24+2</f>
        <v>2</v>
      </c>
      <c r="G4" s="38">
        <f>Planner!$C$201</f>
        <v>0</v>
      </c>
      <c r="H4" s="36"/>
      <c r="I4" s="37" t="s">
        <v>483</v>
      </c>
      <c r="J4" s="74" t="str">
        <f>Planner!$D$219</f>
        <v>MM/DD/YY</v>
      </c>
      <c r="K4" s="75">
        <f>Planner!$F$219</f>
        <v>0</v>
      </c>
      <c r="L4" s="38">
        <f>$B$5</f>
        <v>0</v>
      </c>
    </row>
    <row r="5" spans="1:12">
      <c r="A5" s="34" t="s">
        <v>484</v>
      </c>
      <c r="B5" s="35"/>
      <c r="C5" s="37" t="s">
        <v>485</v>
      </c>
      <c r="D5" s="72" t="str">
        <f>Planner!$C$11</f>
        <v>MM/DD/YY</v>
      </c>
      <c r="E5" s="73" t="s">
        <v>486</v>
      </c>
      <c r="F5" s="38">
        <f>Planner!$E$24+2</f>
        <v>2</v>
      </c>
      <c r="G5" s="38">
        <f>Planner!$C$202</f>
        <v>0</v>
      </c>
      <c r="H5" s="36"/>
      <c r="I5" s="37" t="s">
        <v>470</v>
      </c>
      <c r="J5" s="76" t="str">
        <f>Planner!$D$220</f>
        <v>MM/DD/YY</v>
      </c>
      <c r="K5" s="75">
        <f>Planner!$F$220</f>
        <v>0</v>
      </c>
      <c r="L5" s="38" t="s">
        <v>487</v>
      </c>
    </row>
    <row r="6" spans="1:12">
      <c r="A6" s="34" t="s">
        <v>488</v>
      </c>
      <c r="B6" s="56">
        <f>Planner!$C$23</f>
        <v>0</v>
      </c>
      <c r="C6" s="37" t="s">
        <v>50</v>
      </c>
      <c r="D6" s="56">
        <f>Planner!$G$23</f>
        <v>0</v>
      </c>
      <c r="E6" s="37" t="s">
        <v>591</v>
      </c>
      <c r="F6" s="38">
        <f>Planner!$E$201</f>
        <v>0</v>
      </c>
      <c r="G6" s="18"/>
      <c r="H6" s="18"/>
      <c r="I6" s="18"/>
      <c r="J6" s="18"/>
      <c r="K6" s="18"/>
      <c r="L6" s="18"/>
    </row>
    <row r="7" spans="1:12">
      <c r="A7" s="34" t="s">
        <v>490</v>
      </c>
      <c r="B7" s="56">
        <f>Planner!$E$23</f>
        <v>0</v>
      </c>
      <c r="C7" s="37" t="s">
        <v>491</v>
      </c>
      <c r="D7" s="56">
        <f>Planner!$I$23</f>
        <v>0</v>
      </c>
      <c r="E7" s="37" t="s">
        <v>592</v>
      </c>
      <c r="F7" s="38">
        <f>Planner!$E$202</f>
        <v>0</v>
      </c>
      <c r="G7" s="18"/>
      <c r="H7" s="18"/>
      <c r="K7" s="18"/>
      <c r="L7" s="18"/>
    </row>
    <row r="8" spans="1:12" ht="15.75" thickBot="1">
      <c r="A8" s="18"/>
      <c r="B8" s="18"/>
      <c r="C8" s="18"/>
      <c r="D8" s="18"/>
      <c r="E8" s="37" t="s">
        <v>489</v>
      </c>
      <c r="F8" s="39"/>
      <c r="G8" s="18"/>
      <c r="H8" s="18"/>
      <c r="I8" s="18"/>
      <c r="J8" s="18"/>
      <c r="K8" s="18"/>
      <c r="L8" s="18"/>
    </row>
    <row r="9" spans="1:12">
      <c r="A9" s="41" t="s">
        <v>492</v>
      </c>
      <c r="B9" s="42"/>
      <c r="C9" s="43"/>
      <c r="D9" s="43"/>
      <c r="E9" s="43"/>
      <c r="F9" s="43"/>
      <c r="G9" s="43"/>
      <c r="H9" s="43"/>
      <c r="I9" s="44"/>
      <c r="J9" s="18"/>
      <c r="K9" s="18"/>
      <c r="L9" s="18"/>
    </row>
    <row r="10" spans="1:12">
      <c r="A10" s="45" t="s">
        <v>493</v>
      </c>
      <c r="B10" s="35"/>
      <c r="C10" s="18"/>
      <c r="D10" s="46"/>
      <c r="E10" s="34" t="s">
        <v>494</v>
      </c>
      <c r="F10" s="47"/>
      <c r="G10" s="34" t="s">
        <v>359</v>
      </c>
      <c r="H10" s="18"/>
      <c r="I10" s="48"/>
      <c r="J10" s="18"/>
      <c r="K10" s="18"/>
      <c r="L10" s="18"/>
    </row>
    <row r="11" spans="1:12">
      <c r="A11" s="45" t="s">
        <v>495</v>
      </c>
      <c r="B11" s="35"/>
      <c r="C11" s="37" t="s">
        <v>496</v>
      </c>
      <c r="D11" s="35"/>
      <c r="E11" s="18"/>
      <c r="F11" s="18"/>
      <c r="G11" s="18"/>
      <c r="H11" s="18"/>
      <c r="I11" s="48"/>
      <c r="J11" s="18"/>
      <c r="K11" s="18"/>
      <c r="L11" s="18"/>
    </row>
    <row r="12" spans="1:12">
      <c r="A12" s="45" t="s">
        <v>450</v>
      </c>
      <c r="B12" s="35"/>
      <c r="C12" s="37" t="s">
        <v>454</v>
      </c>
      <c r="D12" s="35"/>
      <c r="E12" s="18"/>
      <c r="F12" s="18"/>
      <c r="G12" s="18"/>
      <c r="H12" s="18"/>
      <c r="I12" s="48"/>
      <c r="J12" s="18"/>
      <c r="K12" s="18"/>
      <c r="L12" s="18"/>
    </row>
    <row r="13" spans="1:12">
      <c r="A13" s="45" t="s">
        <v>497</v>
      </c>
      <c r="B13" s="35"/>
      <c r="C13" s="37" t="s">
        <v>498</v>
      </c>
      <c r="D13" s="35"/>
      <c r="E13" s="18"/>
      <c r="F13" s="18"/>
      <c r="G13" s="18"/>
      <c r="H13" s="18"/>
      <c r="I13" s="48"/>
      <c r="J13" s="18"/>
      <c r="K13" s="18"/>
      <c r="L13" s="18"/>
    </row>
    <row r="14" spans="1:12">
      <c r="A14" s="45"/>
      <c r="B14" s="35"/>
      <c r="C14" s="34"/>
      <c r="D14" s="18"/>
      <c r="E14" s="18"/>
      <c r="F14" s="18"/>
      <c r="G14" s="18"/>
      <c r="H14" s="18"/>
      <c r="I14" s="48"/>
      <c r="J14" s="18"/>
      <c r="K14" s="18"/>
      <c r="L14" s="18"/>
    </row>
    <row r="15" spans="1:12">
      <c r="A15" s="45"/>
      <c r="B15" s="35"/>
      <c r="C15" s="34"/>
      <c r="D15" s="18"/>
      <c r="E15" s="18"/>
      <c r="F15" s="18"/>
      <c r="G15" s="18"/>
      <c r="H15" s="18"/>
      <c r="I15" s="48"/>
      <c r="J15" s="18"/>
      <c r="K15" s="18"/>
      <c r="L15" s="18"/>
    </row>
    <row r="16" spans="1:12">
      <c r="A16" s="45"/>
      <c r="B16" s="35"/>
      <c r="C16" s="34"/>
      <c r="D16" s="18"/>
      <c r="E16" s="18"/>
      <c r="F16" s="18"/>
      <c r="G16" s="18"/>
      <c r="H16" s="18"/>
      <c r="I16" s="48"/>
      <c r="J16" s="18"/>
      <c r="K16" s="18"/>
      <c r="L16" s="18"/>
    </row>
    <row r="17" spans="1:12">
      <c r="A17" s="45"/>
      <c r="B17" s="35"/>
      <c r="C17" s="34"/>
      <c r="D17" s="18"/>
      <c r="E17" s="18"/>
      <c r="F17" s="18"/>
      <c r="G17" s="18"/>
      <c r="H17" s="18"/>
      <c r="I17" s="48"/>
      <c r="J17" s="18"/>
      <c r="K17" s="18"/>
      <c r="L17" s="18"/>
    </row>
    <row r="18" spans="1:12">
      <c r="A18" s="45"/>
      <c r="B18" s="35"/>
      <c r="C18" s="34"/>
      <c r="D18" s="18"/>
      <c r="E18" s="18"/>
      <c r="F18" s="18"/>
      <c r="G18" s="18"/>
      <c r="H18" s="18"/>
      <c r="I18" s="48"/>
      <c r="J18" s="18"/>
      <c r="K18" s="18"/>
      <c r="L18" s="18"/>
    </row>
    <row r="19" spans="1:12" ht="30">
      <c r="A19" s="49" t="s">
        <v>499</v>
      </c>
      <c r="B19" s="534"/>
      <c r="C19" s="534"/>
      <c r="D19" s="534"/>
      <c r="E19" s="50" t="s">
        <v>500</v>
      </c>
      <c r="F19" s="534"/>
      <c r="G19" s="534"/>
      <c r="H19" s="534"/>
      <c r="I19" s="534"/>
      <c r="J19" s="18"/>
      <c r="K19" s="18"/>
      <c r="L19" s="18"/>
    </row>
    <row r="20" spans="1:12">
      <c r="A20" s="45" t="s">
        <v>501</v>
      </c>
      <c r="B20" s="47"/>
      <c r="C20" s="34" t="s">
        <v>502</v>
      </c>
      <c r="D20" s="47"/>
      <c r="E20" s="34" t="s">
        <v>503</v>
      </c>
      <c r="F20" s="34"/>
      <c r="G20" s="34"/>
      <c r="H20" s="18"/>
      <c r="I20" s="48"/>
      <c r="J20" s="18"/>
      <c r="K20" s="18"/>
      <c r="L20" s="18"/>
    </row>
    <row r="21" spans="1:12">
      <c r="A21" s="45"/>
      <c r="B21" s="47"/>
      <c r="C21" s="34" t="s">
        <v>504</v>
      </c>
      <c r="D21" s="47"/>
      <c r="E21" s="34" t="s">
        <v>505</v>
      </c>
      <c r="F21" s="34"/>
      <c r="G21" s="34"/>
      <c r="H21" s="18"/>
      <c r="I21" s="48"/>
      <c r="J21" s="18"/>
      <c r="K21" s="18"/>
      <c r="L21" s="18"/>
    </row>
    <row r="22" spans="1:12" ht="30">
      <c r="A22" s="45"/>
      <c r="B22" s="47"/>
      <c r="C22" s="34" t="s">
        <v>506</v>
      </c>
      <c r="D22" s="47"/>
      <c r="E22" s="34" t="s">
        <v>507</v>
      </c>
      <c r="F22" s="34"/>
      <c r="G22" s="34"/>
      <c r="H22" s="18"/>
      <c r="I22" s="48"/>
      <c r="J22" s="18"/>
      <c r="K22" s="18"/>
      <c r="L22" s="18"/>
    </row>
    <row r="23" spans="1:12" ht="30">
      <c r="A23" s="45"/>
      <c r="B23" s="47"/>
      <c r="C23" s="34" t="s">
        <v>508</v>
      </c>
      <c r="D23" s="47"/>
      <c r="E23" s="34" t="s">
        <v>509</v>
      </c>
      <c r="F23" s="34"/>
      <c r="G23" s="34"/>
      <c r="H23" s="18"/>
      <c r="I23" s="48"/>
      <c r="J23" s="18"/>
      <c r="K23" s="18"/>
      <c r="L23" s="18"/>
    </row>
    <row r="24" spans="1:12">
      <c r="A24" s="45"/>
      <c r="B24" s="47"/>
      <c r="C24" s="34" t="s">
        <v>505</v>
      </c>
      <c r="D24" s="47"/>
      <c r="E24" s="34" t="s">
        <v>510</v>
      </c>
      <c r="F24" s="34"/>
      <c r="G24" s="34"/>
      <c r="H24" s="18"/>
      <c r="I24" s="48"/>
      <c r="J24" s="18"/>
      <c r="K24" s="18"/>
      <c r="L24" s="18"/>
    </row>
    <row r="25" spans="1:12">
      <c r="A25" s="45"/>
      <c r="B25" s="47"/>
      <c r="C25" s="34" t="s">
        <v>511</v>
      </c>
      <c r="D25" s="47"/>
      <c r="E25" s="34" t="s">
        <v>512</v>
      </c>
      <c r="F25" s="34"/>
      <c r="G25" s="34"/>
      <c r="H25" s="18"/>
      <c r="I25" s="48"/>
      <c r="J25" s="18"/>
      <c r="K25" s="18"/>
      <c r="L25" s="18"/>
    </row>
    <row r="26" spans="1:12">
      <c r="A26" s="45"/>
      <c r="B26" s="47"/>
      <c r="C26" s="34" t="s">
        <v>513</v>
      </c>
      <c r="D26" s="47"/>
      <c r="E26" s="34" t="s">
        <v>514</v>
      </c>
      <c r="F26" s="34"/>
      <c r="G26" s="34"/>
      <c r="H26" s="18"/>
      <c r="I26" s="48"/>
      <c r="J26" s="18"/>
      <c r="K26" s="18"/>
      <c r="L26" s="18"/>
    </row>
    <row r="27" spans="1:12">
      <c r="A27" s="45"/>
      <c r="B27" s="47"/>
      <c r="C27" s="34" t="s">
        <v>515</v>
      </c>
      <c r="D27" s="47"/>
      <c r="E27" s="34" t="s">
        <v>516</v>
      </c>
      <c r="F27" s="34"/>
      <c r="G27" s="34"/>
      <c r="H27" s="18"/>
      <c r="I27" s="48"/>
      <c r="J27" s="18"/>
      <c r="K27" s="18"/>
      <c r="L27" s="18"/>
    </row>
    <row r="28" spans="1:12" ht="30">
      <c r="A28" s="45"/>
      <c r="B28" s="47"/>
      <c r="C28" s="34" t="s">
        <v>517</v>
      </c>
      <c r="D28" s="47"/>
      <c r="E28" s="34" t="s">
        <v>518</v>
      </c>
      <c r="F28" s="34"/>
      <c r="G28" s="34"/>
      <c r="H28" s="18"/>
      <c r="I28" s="48"/>
      <c r="J28" s="18"/>
      <c r="K28" s="18"/>
      <c r="L28" s="18"/>
    </row>
    <row r="29" spans="1:12" ht="30">
      <c r="A29" s="45"/>
      <c r="B29" s="47"/>
      <c r="C29" s="34" t="s">
        <v>519</v>
      </c>
      <c r="D29" s="47"/>
      <c r="E29" s="34" t="s">
        <v>520</v>
      </c>
      <c r="F29" s="34"/>
      <c r="G29" s="34"/>
      <c r="H29" s="18"/>
      <c r="I29" s="48"/>
      <c r="J29" s="18"/>
      <c r="K29" s="18"/>
      <c r="L29" s="18"/>
    </row>
    <row r="30" spans="1:12">
      <c r="A30" s="45"/>
      <c r="B30" s="47"/>
      <c r="C30" s="34" t="s">
        <v>521</v>
      </c>
      <c r="D30" s="47"/>
      <c r="E30" s="34"/>
      <c r="F30" s="34"/>
      <c r="G30" s="34"/>
      <c r="H30" s="18"/>
      <c r="I30" s="48"/>
      <c r="J30" s="18"/>
      <c r="K30" s="18"/>
      <c r="L30" s="18"/>
    </row>
    <row r="31" spans="1:12">
      <c r="A31" s="45"/>
      <c r="B31" s="18"/>
      <c r="C31" s="34"/>
      <c r="D31" s="18"/>
      <c r="E31" s="34"/>
      <c r="F31" s="18"/>
      <c r="G31" s="34"/>
      <c r="H31" s="18"/>
      <c r="I31" s="48"/>
      <c r="J31" s="18"/>
      <c r="K31" s="18"/>
      <c r="L31" s="18"/>
    </row>
    <row r="32" spans="1:12">
      <c r="A32" s="45" t="s">
        <v>522</v>
      </c>
      <c r="B32" s="47"/>
      <c r="C32" s="34" t="s">
        <v>523</v>
      </c>
      <c r="D32" s="47"/>
      <c r="E32" s="34" t="s">
        <v>503</v>
      </c>
      <c r="F32" s="18"/>
      <c r="G32" s="34"/>
      <c r="H32" s="18"/>
      <c r="I32" s="48"/>
      <c r="J32" s="18"/>
      <c r="K32" s="18"/>
      <c r="L32" s="18"/>
    </row>
    <row r="33" spans="1:12">
      <c r="A33" s="45"/>
      <c r="B33" s="47"/>
      <c r="C33" s="34" t="s">
        <v>524</v>
      </c>
      <c r="D33" s="47"/>
      <c r="E33" s="34" t="s">
        <v>505</v>
      </c>
      <c r="F33" s="18"/>
      <c r="G33" s="34"/>
      <c r="H33" s="18"/>
      <c r="I33" s="48"/>
      <c r="J33" s="18"/>
      <c r="K33" s="18"/>
      <c r="L33" s="18"/>
    </row>
    <row r="34" spans="1:12">
      <c r="A34" s="45"/>
      <c r="B34" s="47"/>
      <c r="C34" s="34" t="s">
        <v>511</v>
      </c>
      <c r="D34" s="47"/>
      <c r="E34" s="34" t="s">
        <v>507</v>
      </c>
      <c r="F34" s="18"/>
      <c r="G34" s="34"/>
      <c r="H34" s="18"/>
      <c r="I34" s="48"/>
      <c r="J34" s="18"/>
      <c r="K34" s="18"/>
      <c r="L34" s="18"/>
    </row>
    <row r="35" spans="1:12">
      <c r="A35" s="45"/>
      <c r="B35" s="47"/>
      <c r="C35" s="34" t="s">
        <v>525</v>
      </c>
      <c r="D35" s="47"/>
      <c r="E35" s="34" t="s">
        <v>509</v>
      </c>
      <c r="F35" s="18"/>
      <c r="G35" s="34"/>
      <c r="H35" s="18"/>
      <c r="I35" s="48"/>
      <c r="J35" s="18"/>
      <c r="K35" s="18"/>
      <c r="L35" s="18"/>
    </row>
    <row r="36" spans="1:12">
      <c r="A36" s="45"/>
      <c r="B36" s="47"/>
      <c r="C36" s="34" t="s">
        <v>526</v>
      </c>
      <c r="D36" s="47"/>
      <c r="E36" s="34" t="s">
        <v>527</v>
      </c>
      <c r="F36" s="18"/>
      <c r="G36" s="34"/>
      <c r="H36" s="18"/>
      <c r="I36" s="48"/>
      <c r="J36" s="18"/>
      <c r="K36" s="18"/>
      <c r="L36" s="18"/>
    </row>
    <row r="37" spans="1:12">
      <c r="A37" s="45"/>
      <c r="B37" s="47"/>
      <c r="C37" s="34" t="s">
        <v>528</v>
      </c>
      <c r="D37" s="47"/>
      <c r="E37" s="34" t="s">
        <v>529</v>
      </c>
      <c r="F37" s="18"/>
      <c r="G37" s="34"/>
      <c r="H37" s="18"/>
      <c r="I37" s="48"/>
      <c r="J37" s="18"/>
      <c r="K37" s="18"/>
      <c r="L37" s="18"/>
    </row>
    <row r="38" spans="1:12">
      <c r="A38" s="45"/>
      <c r="B38" s="18"/>
      <c r="C38" s="18"/>
      <c r="D38" s="47"/>
      <c r="E38" s="34" t="s">
        <v>530</v>
      </c>
      <c r="F38" s="18"/>
      <c r="G38" s="18"/>
      <c r="H38" s="18"/>
      <c r="I38" s="48"/>
      <c r="J38" s="18"/>
      <c r="K38" s="18"/>
      <c r="L38" s="18"/>
    </row>
    <row r="39" spans="1:12">
      <c r="A39" s="45" t="s">
        <v>531</v>
      </c>
      <c r="B39" s="46"/>
      <c r="C39" s="18"/>
      <c r="D39" s="34"/>
      <c r="E39" s="34"/>
      <c r="F39" s="18"/>
      <c r="G39" s="18"/>
      <c r="H39" s="18"/>
      <c r="I39" s="48"/>
      <c r="J39" s="18"/>
      <c r="K39" s="18"/>
      <c r="L39" s="18"/>
    </row>
    <row r="40" spans="1:12" ht="30">
      <c r="A40" s="51"/>
      <c r="B40" s="46"/>
      <c r="C40" s="18"/>
      <c r="D40" s="47"/>
      <c r="E40" s="34" t="s">
        <v>532</v>
      </c>
      <c r="F40" s="18"/>
      <c r="G40" s="18"/>
      <c r="H40" s="18"/>
      <c r="I40" s="48"/>
      <c r="J40" s="18"/>
      <c r="K40" s="18"/>
      <c r="L40" s="18"/>
    </row>
    <row r="41" spans="1:12">
      <c r="A41" s="51"/>
      <c r="B41" s="46"/>
      <c r="C41" s="18"/>
      <c r="D41" s="18"/>
      <c r="E41" s="18"/>
      <c r="F41" s="18"/>
      <c r="G41" s="18"/>
      <c r="H41" s="18"/>
      <c r="I41" s="48"/>
      <c r="J41" s="18"/>
      <c r="K41" s="18"/>
      <c r="L41" s="18"/>
    </row>
    <row r="42" spans="1:12">
      <c r="A42" s="51"/>
      <c r="B42" s="46"/>
      <c r="C42" s="18"/>
      <c r="D42" s="18"/>
      <c r="E42" s="18"/>
      <c r="F42" s="18"/>
      <c r="G42" s="18"/>
      <c r="H42" s="18"/>
      <c r="I42" s="48"/>
      <c r="J42" s="18"/>
      <c r="K42" s="18"/>
      <c r="L42" s="18"/>
    </row>
    <row r="43" spans="1:12">
      <c r="A43" s="51"/>
      <c r="B43" s="46"/>
      <c r="C43" s="18"/>
      <c r="D43" s="18"/>
      <c r="E43" s="18"/>
      <c r="F43" s="18"/>
      <c r="G43" s="18"/>
      <c r="H43" s="18"/>
      <c r="I43" s="48"/>
      <c r="J43" s="18"/>
      <c r="K43" s="18"/>
      <c r="L43" s="18"/>
    </row>
    <row r="44" spans="1:12">
      <c r="A44" s="51"/>
      <c r="B44" s="46"/>
      <c r="C44" s="18"/>
      <c r="D44" s="18"/>
      <c r="E44" s="18"/>
      <c r="F44" s="18"/>
      <c r="G44" s="18"/>
      <c r="H44" s="18"/>
      <c r="I44" s="48"/>
      <c r="J44" s="18"/>
      <c r="K44" s="18"/>
      <c r="L44" s="18"/>
    </row>
    <row r="45" spans="1:12">
      <c r="A45" s="51"/>
      <c r="B45" s="46"/>
      <c r="C45" s="18"/>
      <c r="D45" s="18"/>
      <c r="E45" s="18"/>
      <c r="F45" s="18"/>
      <c r="G45" s="18"/>
      <c r="H45" s="18"/>
      <c r="I45" s="48"/>
      <c r="J45" s="18"/>
      <c r="K45" s="18"/>
      <c r="L45" s="18"/>
    </row>
    <row r="46" spans="1:12">
      <c r="A46" s="51"/>
      <c r="B46" s="46"/>
      <c r="C46" s="18"/>
      <c r="D46" s="18"/>
      <c r="E46" s="18"/>
      <c r="F46" s="18"/>
      <c r="G46" s="18"/>
      <c r="H46" s="18"/>
      <c r="I46" s="48"/>
      <c r="J46" s="18"/>
      <c r="K46" s="18"/>
      <c r="L46" s="18"/>
    </row>
    <row r="47" spans="1:12" ht="15.75" thickBot="1">
      <c r="A47" s="52"/>
      <c r="B47" s="53"/>
      <c r="C47" s="54"/>
      <c r="D47" s="54"/>
      <c r="E47" s="54"/>
      <c r="F47" s="54"/>
      <c r="G47" s="54"/>
      <c r="H47" s="54"/>
      <c r="I47" s="55"/>
      <c r="J47" s="18"/>
      <c r="K47" s="18"/>
      <c r="L47" s="18"/>
    </row>
    <row r="48" spans="1:12" ht="15.75" thickBot="1">
      <c r="A48" s="18"/>
      <c r="B48" s="18"/>
      <c r="C48" s="18"/>
      <c r="D48" s="18"/>
      <c r="E48" s="18"/>
      <c r="F48" s="18"/>
      <c r="G48" s="18"/>
      <c r="H48" s="18"/>
      <c r="I48" s="18"/>
      <c r="J48" s="18"/>
      <c r="K48" s="18"/>
      <c r="L48" s="18"/>
    </row>
    <row r="49" spans="1:12">
      <c r="A49" s="41" t="s">
        <v>533</v>
      </c>
      <c r="B49" s="42"/>
      <c r="C49" s="43"/>
      <c r="D49" s="43"/>
      <c r="E49" s="43"/>
      <c r="F49" s="43"/>
      <c r="G49" s="43"/>
      <c r="H49" s="43"/>
      <c r="I49" s="44"/>
      <c r="J49" s="18"/>
      <c r="K49" s="18"/>
      <c r="L49" s="18"/>
    </row>
    <row r="50" spans="1:12">
      <c r="A50" s="45" t="s">
        <v>493</v>
      </c>
      <c r="B50" s="35"/>
      <c r="C50" s="18"/>
      <c r="D50" s="46"/>
      <c r="E50" s="34" t="s">
        <v>494</v>
      </c>
      <c r="F50" s="46"/>
      <c r="G50" s="34" t="s">
        <v>359</v>
      </c>
      <c r="H50" s="18"/>
      <c r="I50" s="48"/>
      <c r="J50" s="18"/>
      <c r="K50" s="18"/>
      <c r="L50" s="18"/>
    </row>
    <row r="51" spans="1:12">
      <c r="A51" s="45" t="s">
        <v>495</v>
      </c>
      <c r="B51" s="35"/>
      <c r="C51" s="37" t="s">
        <v>496</v>
      </c>
      <c r="D51" s="35"/>
      <c r="E51" s="18"/>
      <c r="F51" s="18"/>
      <c r="G51" s="18"/>
      <c r="H51" s="18"/>
      <c r="I51" s="48"/>
      <c r="J51" s="18"/>
      <c r="K51" s="18"/>
      <c r="L51" s="18"/>
    </row>
    <row r="52" spans="1:12">
      <c r="A52" s="45" t="s">
        <v>450</v>
      </c>
      <c r="B52" s="35"/>
      <c r="C52" s="37" t="s">
        <v>454</v>
      </c>
      <c r="D52" s="46"/>
      <c r="E52" s="18"/>
      <c r="F52" s="18"/>
      <c r="G52" s="18"/>
      <c r="H52" s="18"/>
      <c r="I52" s="48"/>
      <c r="J52" s="18"/>
      <c r="K52" s="18"/>
      <c r="L52" s="18"/>
    </row>
    <row r="53" spans="1:12">
      <c r="A53" s="45" t="s">
        <v>497</v>
      </c>
      <c r="B53" s="35"/>
      <c r="C53" s="37" t="s">
        <v>498</v>
      </c>
      <c r="D53" s="46"/>
      <c r="E53" s="18"/>
      <c r="F53" s="18"/>
      <c r="G53" s="18"/>
      <c r="H53" s="18"/>
      <c r="I53" s="48"/>
      <c r="J53" s="18"/>
      <c r="K53" s="18"/>
      <c r="L53" s="18"/>
    </row>
    <row r="54" spans="1:12">
      <c r="A54" s="45"/>
      <c r="B54" s="35"/>
      <c r="C54" s="34"/>
      <c r="D54" s="18"/>
      <c r="E54" s="18"/>
      <c r="F54" s="18"/>
      <c r="G54" s="18"/>
      <c r="H54" s="18"/>
      <c r="I54" s="48"/>
      <c r="J54" s="18"/>
      <c r="K54" s="18"/>
      <c r="L54" s="18"/>
    </row>
    <row r="55" spans="1:12">
      <c r="A55" s="45"/>
      <c r="B55" s="35"/>
      <c r="C55" s="34"/>
      <c r="D55" s="18"/>
      <c r="E55" s="18"/>
      <c r="F55" s="18"/>
      <c r="G55" s="18"/>
      <c r="H55" s="18"/>
      <c r="I55" s="48"/>
      <c r="J55" s="18"/>
      <c r="K55" s="18"/>
      <c r="L55" s="18"/>
    </row>
    <row r="56" spans="1:12">
      <c r="A56" s="45"/>
      <c r="B56" s="35"/>
      <c r="C56" s="34"/>
      <c r="D56" s="18"/>
      <c r="E56" s="18"/>
      <c r="F56" s="18"/>
      <c r="G56" s="18"/>
      <c r="H56" s="18"/>
      <c r="I56" s="48"/>
      <c r="J56" s="18"/>
      <c r="K56" s="18"/>
      <c r="L56" s="18"/>
    </row>
    <row r="57" spans="1:12">
      <c r="A57" s="45"/>
      <c r="B57" s="35"/>
      <c r="C57" s="34"/>
      <c r="D57" s="18"/>
      <c r="E57" s="18"/>
      <c r="F57" s="18"/>
      <c r="G57" s="18"/>
      <c r="H57" s="18"/>
      <c r="I57" s="48"/>
      <c r="J57" s="18"/>
      <c r="K57" s="18"/>
      <c r="L57" s="18"/>
    </row>
    <row r="58" spans="1:12">
      <c r="A58" s="45"/>
      <c r="B58" s="35"/>
      <c r="C58" s="34"/>
      <c r="D58" s="18"/>
      <c r="E58" s="18"/>
      <c r="F58" s="18"/>
      <c r="G58" s="18"/>
      <c r="H58" s="18"/>
      <c r="I58" s="48"/>
      <c r="J58" s="18"/>
      <c r="K58" s="18"/>
      <c r="L58" s="18"/>
    </row>
    <row r="59" spans="1:12" ht="30">
      <c r="A59" s="49" t="s">
        <v>499</v>
      </c>
      <c r="B59" s="534"/>
      <c r="C59" s="534"/>
      <c r="D59" s="534"/>
      <c r="E59" s="50" t="s">
        <v>500</v>
      </c>
      <c r="F59" s="534"/>
      <c r="G59" s="534"/>
      <c r="H59" s="534"/>
      <c r="I59" s="534"/>
      <c r="J59" s="18"/>
      <c r="K59" s="18"/>
      <c r="L59" s="18"/>
    </row>
    <row r="60" spans="1:12">
      <c r="A60" s="45" t="s">
        <v>501</v>
      </c>
      <c r="B60" s="47"/>
      <c r="C60" s="34" t="s">
        <v>502</v>
      </c>
      <c r="D60" s="47"/>
      <c r="E60" s="34" t="s">
        <v>503</v>
      </c>
      <c r="F60" s="34"/>
      <c r="G60" s="34"/>
      <c r="H60" s="18"/>
      <c r="I60" s="48"/>
      <c r="J60" s="18"/>
      <c r="K60" s="18"/>
      <c r="L60" s="18"/>
    </row>
    <row r="61" spans="1:12">
      <c r="A61" s="45"/>
      <c r="B61" s="47"/>
      <c r="C61" s="34" t="s">
        <v>504</v>
      </c>
      <c r="D61" s="47"/>
      <c r="E61" s="34" t="s">
        <v>505</v>
      </c>
      <c r="F61" s="34"/>
      <c r="G61" s="34"/>
      <c r="H61" s="18"/>
      <c r="I61" s="48"/>
      <c r="J61" s="18"/>
      <c r="K61" s="18"/>
      <c r="L61" s="18"/>
    </row>
    <row r="62" spans="1:12" ht="30">
      <c r="A62" s="45"/>
      <c r="B62" s="47"/>
      <c r="C62" s="34" t="s">
        <v>506</v>
      </c>
      <c r="D62" s="47"/>
      <c r="E62" s="34" t="s">
        <v>507</v>
      </c>
      <c r="F62" s="34"/>
      <c r="G62" s="34"/>
      <c r="H62" s="18"/>
      <c r="I62" s="48"/>
      <c r="J62" s="18"/>
      <c r="K62" s="18"/>
      <c r="L62" s="18"/>
    </row>
    <row r="63" spans="1:12" ht="30">
      <c r="A63" s="45"/>
      <c r="B63" s="47"/>
      <c r="C63" s="34" t="s">
        <v>508</v>
      </c>
      <c r="D63" s="47"/>
      <c r="E63" s="34" t="s">
        <v>509</v>
      </c>
      <c r="F63" s="34"/>
      <c r="G63" s="34"/>
      <c r="H63" s="18"/>
      <c r="I63" s="48"/>
      <c r="J63" s="18"/>
      <c r="K63" s="18"/>
      <c r="L63" s="18"/>
    </row>
    <row r="64" spans="1:12">
      <c r="A64" s="45"/>
      <c r="B64" s="47"/>
      <c r="C64" s="34" t="s">
        <v>505</v>
      </c>
      <c r="D64" s="47"/>
      <c r="E64" s="34" t="s">
        <v>510</v>
      </c>
      <c r="F64" s="34"/>
      <c r="G64" s="34"/>
      <c r="H64" s="18"/>
      <c r="I64" s="48"/>
      <c r="J64" s="18"/>
      <c r="K64" s="18"/>
      <c r="L64" s="18"/>
    </row>
    <row r="65" spans="1:12">
      <c r="A65" s="45"/>
      <c r="B65" s="47"/>
      <c r="C65" s="34" t="s">
        <v>511</v>
      </c>
      <c r="D65" s="47"/>
      <c r="E65" s="34" t="s">
        <v>512</v>
      </c>
      <c r="F65" s="34"/>
      <c r="G65" s="34"/>
      <c r="H65" s="18"/>
      <c r="I65" s="48"/>
      <c r="J65" s="18"/>
      <c r="K65" s="18"/>
      <c r="L65" s="18"/>
    </row>
    <row r="66" spans="1:12">
      <c r="A66" s="45"/>
      <c r="B66" s="47"/>
      <c r="C66" s="34" t="s">
        <v>513</v>
      </c>
      <c r="D66" s="47"/>
      <c r="E66" s="34" t="s">
        <v>514</v>
      </c>
      <c r="F66" s="34"/>
      <c r="G66" s="34"/>
      <c r="H66" s="18"/>
      <c r="I66" s="48"/>
      <c r="J66" s="18"/>
      <c r="K66" s="18"/>
      <c r="L66" s="18"/>
    </row>
    <row r="67" spans="1:12">
      <c r="A67" s="45"/>
      <c r="B67" s="47"/>
      <c r="C67" s="34" t="s">
        <v>515</v>
      </c>
      <c r="D67" s="47"/>
      <c r="E67" s="34" t="s">
        <v>516</v>
      </c>
      <c r="F67" s="34"/>
      <c r="G67" s="34"/>
      <c r="H67" s="18"/>
      <c r="I67" s="48"/>
      <c r="J67" s="18"/>
      <c r="K67" s="18"/>
      <c r="L67" s="18"/>
    </row>
    <row r="68" spans="1:12" ht="30">
      <c r="A68" s="45"/>
      <c r="B68" s="47"/>
      <c r="C68" s="34" t="s">
        <v>517</v>
      </c>
      <c r="D68" s="47"/>
      <c r="E68" s="34" t="s">
        <v>518</v>
      </c>
      <c r="F68" s="34"/>
      <c r="G68" s="34"/>
      <c r="H68" s="18"/>
      <c r="I68" s="48"/>
      <c r="J68" s="18"/>
      <c r="K68" s="18"/>
      <c r="L68" s="18"/>
    </row>
    <row r="69" spans="1:12" ht="30">
      <c r="A69" s="45"/>
      <c r="B69" s="47"/>
      <c r="C69" s="34" t="s">
        <v>519</v>
      </c>
      <c r="D69" s="47"/>
      <c r="E69" s="34" t="s">
        <v>520</v>
      </c>
      <c r="F69" s="34"/>
      <c r="G69" s="34"/>
      <c r="H69" s="18"/>
      <c r="I69" s="48"/>
      <c r="J69" s="18"/>
      <c r="K69" s="18"/>
      <c r="L69" s="18"/>
    </row>
    <row r="70" spans="1:12">
      <c r="A70" s="45"/>
      <c r="B70" s="47"/>
      <c r="C70" s="34" t="s">
        <v>521</v>
      </c>
      <c r="D70" s="47"/>
      <c r="E70" s="34"/>
      <c r="F70" s="34"/>
      <c r="G70" s="34"/>
      <c r="H70" s="18"/>
      <c r="I70" s="48"/>
      <c r="J70" s="18"/>
      <c r="K70" s="18"/>
      <c r="L70" s="18"/>
    </row>
    <row r="71" spans="1:12">
      <c r="A71" s="45"/>
      <c r="B71" s="18"/>
      <c r="C71" s="34"/>
      <c r="D71" s="18"/>
      <c r="E71" s="34"/>
      <c r="F71" s="18"/>
      <c r="G71" s="34"/>
      <c r="H71" s="18"/>
      <c r="I71" s="48"/>
      <c r="J71" s="18"/>
      <c r="K71" s="18"/>
      <c r="L71" s="18"/>
    </row>
    <row r="72" spans="1:12">
      <c r="A72" s="45" t="s">
        <v>522</v>
      </c>
      <c r="B72" s="47"/>
      <c r="C72" s="34" t="s">
        <v>523</v>
      </c>
      <c r="D72" s="47"/>
      <c r="E72" s="34" t="s">
        <v>503</v>
      </c>
      <c r="F72" s="18"/>
      <c r="G72" s="34"/>
      <c r="H72" s="18"/>
      <c r="I72" s="48"/>
      <c r="J72" s="18"/>
      <c r="K72" s="18"/>
      <c r="L72" s="18"/>
    </row>
    <row r="73" spans="1:12">
      <c r="A73" s="45"/>
      <c r="B73" s="47"/>
      <c r="C73" s="34" t="s">
        <v>524</v>
      </c>
      <c r="D73" s="47"/>
      <c r="E73" s="34" t="s">
        <v>505</v>
      </c>
      <c r="F73" s="18"/>
      <c r="G73" s="34"/>
      <c r="H73" s="18"/>
      <c r="I73" s="48"/>
      <c r="J73" s="18"/>
      <c r="K73" s="18"/>
      <c r="L73" s="18"/>
    </row>
    <row r="74" spans="1:12">
      <c r="A74" s="45"/>
      <c r="B74" s="47"/>
      <c r="C74" s="34" t="s">
        <v>511</v>
      </c>
      <c r="D74" s="47"/>
      <c r="E74" s="34" t="s">
        <v>507</v>
      </c>
      <c r="F74" s="18"/>
      <c r="G74" s="34"/>
      <c r="H74" s="18"/>
      <c r="I74" s="48"/>
      <c r="J74" s="18"/>
      <c r="K74" s="18"/>
      <c r="L74" s="18"/>
    </row>
    <row r="75" spans="1:12">
      <c r="A75" s="45"/>
      <c r="B75" s="47"/>
      <c r="C75" s="34" t="s">
        <v>525</v>
      </c>
      <c r="D75" s="47"/>
      <c r="E75" s="34" t="s">
        <v>509</v>
      </c>
      <c r="F75" s="18"/>
      <c r="G75" s="34"/>
      <c r="H75" s="18"/>
      <c r="I75" s="48"/>
      <c r="J75" s="18"/>
      <c r="K75" s="18"/>
      <c r="L75" s="18"/>
    </row>
    <row r="76" spans="1:12">
      <c r="A76" s="45"/>
      <c r="B76" s="47"/>
      <c r="C76" s="34" t="s">
        <v>526</v>
      </c>
      <c r="D76" s="47"/>
      <c r="E76" s="34" t="s">
        <v>527</v>
      </c>
      <c r="F76" s="18"/>
      <c r="G76" s="34"/>
      <c r="H76" s="18"/>
      <c r="I76" s="48"/>
      <c r="J76" s="18"/>
      <c r="K76" s="18"/>
      <c r="L76" s="18"/>
    </row>
    <row r="77" spans="1:12">
      <c r="A77" s="45"/>
      <c r="B77" s="47"/>
      <c r="C77" s="34" t="s">
        <v>528</v>
      </c>
      <c r="D77" s="47"/>
      <c r="E77" s="34" t="s">
        <v>529</v>
      </c>
      <c r="F77" s="18"/>
      <c r="G77" s="34"/>
      <c r="H77" s="18"/>
      <c r="I77" s="48"/>
      <c r="J77" s="18"/>
      <c r="K77" s="18"/>
      <c r="L77" s="18"/>
    </row>
    <row r="78" spans="1:12">
      <c r="A78" s="45"/>
      <c r="B78" s="18"/>
      <c r="C78" s="18"/>
      <c r="D78" s="47"/>
      <c r="E78" s="34" t="s">
        <v>530</v>
      </c>
      <c r="F78" s="18"/>
      <c r="G78" s="18"/>
      <c r="H78" s="18"/>
      <c r="I78" s="48"/>
      <c r="J78" s="18"/>
      <c r="K78" s="18"/>
      <c r="L78" s="18"/>
    </row>
    <row r="79" spans="1:12">
      <c r="A79" s="45" t="s">
        <v>531</v>
      </c>
      <c r="B79" s="46"/>
      <c r="C79" s="18"/>
      <c r="D79" s="18"/>
      <c r="E79" s="18"/>
      <c r="F79" s="18"/>
      <c r="G79" s="18"/>
      <c r="H79" s="18"/>
      <c r="I79" s="48"/>
      <c r="J79" s="18"/>
      <c r="K79" s="18"/>
      <c r="L79" s="18"/>
    </row>
    <row r="80" spans="1:12" ht="30">
      <c r="A80" s="51"/>
      <c r="B80" s="46"/>
      <c r="C80" s="18"/>
      <c r="D80" s="47"/>
      <c r="E80" s="34" t="s">
        <v>532</v>
      </c>
      <c r="F80" s="18"/>
      <c r="G80" s="18"/>
      <c r="H80" s="18"/>
      <c r="I80" s="48"/>
      <c r="J80" s="18"/>
      <c r="K80" s="18"/>
      <c r="L80" s="18"/>
    </row>
    <row r="81" spans="1:12">
      <c r="A81" s="51"/>
      <c r="B81" s="46"/>
      <c r="C81" s="18"/>
      <c r="D81" s="18"/>
      <c r="E81" s="18"/>
      <c r="F81" s="18"/>
      <c r="G81" s="18"/>
      <c r="H81" s="18"/>
      <c r="I81" s="48"/>
      <c r="J81" s="18"/>
      <c r="K81" s="18"/>
      <c r="L81" s="18"/>
    </row>
    <row r="82" spans="1:12">
      <c r="A82" s="51"/>
      <c r="B82" s="46"/>
      <c r="C82" s="18"/>
      <c r="D82" s="18"/>
      <c r="E82" s="18"/>
      <c r="F82" s="18"/>
      <c r="G82" s="18"/>
      <c r="H82" s="18"/>
      <c r="I82" s="48"/>
      <c r="J82" s="18"/>
      <c r="K82" s="18"/>
      <c r="L82" s="18"/>
    </row>
    <row r="83" spans="1:12">
      <c r="A83" s="51"/>
      <c r="B83" s="46"/>
      <c r="C83" s="18"/>
      <c r="D83" s="18"/>
      <c r="E83" s="18"/>
      <c r="F83" s="18"/>
      <c r="G83" s="18"/>
      <c r="H83" s="18"/>
      <c r="I83" s="48"/>
      <c r="J83" s="18"/>
      <c r="K83" s="18"/>
      <c r="L83" s="18"/>
    </row>
    <row r="84" spans="1:12">
      <c r="A84" s="51"/>
      <c r="B84" s="46"/>
      <c r="C84" s="18"/>
      <c r="D84" s="18"/>
      <c r="E84" s="18"/>
      <c r="F84" s="18"/>
      <c r="G84" s="18"/>
      <c r="H84" s="18"/>
      <c r="I84" s="48"/>
      <c r="J84" s="18"/>
      <c r="K84" s="18"/>
      <c r="L84" s="18"/>
    </row>
    <row r="85" spans="1:12">
      <c r="A85" s="51"/>
      <c r="B85" s="46"/>
      <c r="C85" s="18"/>
      <c r="D85" s="18"/>
      <c r="E85" s="18"/>
      <c r="F85" s="18"/>
      <c r="G85" s="18"/>
      <c r="H85" s="18"/>
      <c r="I85" s="48"/>
      <c r="J85" s="18"/>
      <c r="K85" s="18"/>
      <c r="L85" s="18"/>
    </row>
    <row r="86" spans="1:12">
      <c r="A86" s="51"/>
      <c r="B86" s="46"/>
      <c r="C86" s="18"/>
      <c r="D86" s="18"/>
      <c r="E86" s="18"/>
      <c r="F86" s="18"/>
      <c r="G86" s="18"/>
      <c r="H86" s="18"/>
      <c r="I86" s="48"/>
      <c r="J86" s="18"/>
      <c r="K86" s="18"/>
      <c r="L86" s="18"/>
    </row>
    <row r="87" spans="1:12" ht="15.75" thickBot="1">
      <c r="A87" s="52"/>
      <c r="B87" s="53"/>
      <c r="C87" s="54"/>
      <c r="D87" s="54"/>
      <c r="E87" s="54"/>
      <c r="F87" s="54"/>
      <c r="G87" s="54"/>
      <c r="H87" s="54"/>
      <c r="I87" s="55"/>
      <c r="J87" s="18"/>
      <c r="K87" s="18"/>
      <c r="L87" s="18"/>
    </row>
    <row r="88" spans="1:12" ht="15.75" thickBot="1">
      <c r="A88" s="18"/>
      <c r="B88" s="18"/>
      <c r="C88" s="18"/>
      <c r="D88" s="18"/>
      <c r="E88" s="18"/>
      <c r="F88" s="18"/>
      <c r="G88" s="18"/>
      <c r="H88" s="18"/>
      <c r="I88" s="18"/>
      <c r="J88" s="18"/>
      <c r="K88" s="18"/>
      <c r="L88" s="18"/>
    </row>
    <row r="89" spans="1:12">
      <c r="A89" s="41" t="s">
        <v>361</v>
      </c>
      <c r="B89" s="43"/>
      <c r="C89" s="43"/>
      <c r="D89" s="43"/>
      <c r="E89" s="43"/>
      <c r="F89" s="43"/>
      <c r="G89" s="43"/>
      <c r="H89" s="43"/>
      <c r="I89" s="44"/>
      <c r="J89" s="18"/>
      <c r="K89" s="18"/>
      <c r="L89" s="18"/>
    </row>
    <row r="90" spans="1:12">
      <c r="A90" s="45" t="s">
        <v>493</v>
      </c>
      <c r="B90" s="56" t="s">
        <v>361</v>
      </c>
      <c r="C90" s="18"/>
      <c r="D90" s="18"/>
      <c r="E90" s="18"/>
      <c r="F90" s="18"/>
      <c r="G90" s="18"/>
      <c r="H90" s="18"/>
      <c r="I90" s="48"/>
      <c r="J90" s="18"/>
      <c r="K90" s="18"/>
      <c r="L90" s="18"/>
    </row>
    <row r="91" spans="1:12" ht="26.25">
      <c r="A91" s="45" t="s">
        <v>495</v>
      </c>
      <c r="B91" s="56">
        <f>Planner!$C$31</f>
        <v>0</v>
      </c>
      <c r="C91" s="57" t="s">
        <v>534</v>
      </c>
      <c r="D91" s="77"/>
      <c r="E91" s="18"/>
      <c r="F91" s="18"/>
      <c r="G91" s="18"/>
      <c r="H91" s="18"/>
      <c r="I91" s="48"/>
      <c r="J91" s="18"/>
      <c r="K91" s="18"/>
      <c r="L91" s="18"/>
    </row>
    <row r="92" spans="1:12">
      <c r="A92" s="45" t="s">
        <v>454</v>
      </c>
      <c r="B92" s="56">
        <f>Planner!$C$30</f>
        <v>0</v>
      </c>
      <c r="C92" s="34"/>
      <c r="D92" s="18"/>
      <c r="E92" s="18"/>
      <c r="F92" s="18"/>
      <c r="G92" s="18"/>
      <c r="H92" s="18"/>
      <c r="I92" s="48"/>
      <c r="J92" s="18"/>
      <c r="K92" s="18"/>
      <c r="L92" s="18"/>
    </row>
    <row r="93" spans="1:12">
      <c r="A93" s="45" t="s">
        <v>501</v>
      </c>
      <c r="B93" s="47"/>
      <c r="C93" s="34" t="s">
        <v>515</v>
      </c>
      <c r="D93" s="47" t="s">
        <v>535</v>
      </c>
      <c r="E93" s="34" t="s">
        <v>536</v>
      </c>
      <c r="F93" s="18"/>
      <c r="G93" s="18"/>
      <c r="H93" s="18"/>
      <c r="I93" s="48"/>
      <c r="J93" s="18"/>
      <c r="K93" s="18"/>
      <c r="L93" s="18"/>
    </row>
    <row r="94" spans="1:12" ht="30">
      <c r="A94" s="45"/>
      <c r="B94" s="47"/>
      <c r="C94" s="34" t="s">
        <v>517</v>
      </c>
      <c r="D94" s="47" t="s">
        <v>535</v>
      </c>
      <c r="E94" s="34" t="s">
        <v>537</v>
      </c>
      <c r="F94" s="18"/>
      <c r="G94" s="18"/>
      <c r="H94" s="18"/>
      <c r="I94" s="48"/>
      <c r="J94" s="18"/>
      <c r="K94" s="18"/>
      <c r="L94" s="18"/>
    </row>
    <row r="95" spans="1:12" ht="30">
      <c r="A95" s="45"/>
      <c r="B95" s="47"/>
      <c r="C95" s="34" t="s">
        <v>519</v>
      </c>
      <c r="D95" s="47"/>
      <c r="E95" s="34"/>
      <c r="F95" s="18"/>
      <c r="G95" s="18"/>
      <c r="H95" s="18"/>
      <c r="I95" s="48"/>
      <c r="J95" s="18"/>
      <c r="K95" s="18"/>
      <c r="L95" s="18"/>
    </row>
    <row r="96" spans="1:12" ht="30">
      <c r="A96" s="45"/>
      <c r="B96" s="47"/>
      <c r="C96" s="34" t="s">
        <v>506</v>
      </c>
      <c r="D96" s="47"/>
      <c r="E96" s="34"/>
      <c r="F96" s="18"/>
      <c r="G96" s="18"/>
      <c r="H96" s="18"/>
      <c r="I96" s="48"/>
      <c r="J96" s="18"/>
      <c r="K96" s="18"/>
      <c r="L96" s="18"/>
    </row>
    <row r="97" spans="1:12">
      <c r="A97" s="45"/>
      <c r="B97" s="18"/>
      <c r="C97" s="34"/>
      <c r="D97" s="18"/>
      <c r="E97" s="34"/>
      <c r="F97" s="18"/>
      <c r="G97" s="18"/>
      <c r="H97" s="18"/>
      <c r="I97" s="48"/>
      <c r="J97" s="18"/>
      <c r="K97" s="18"/>
      <c r="L97" s="18"/>
    </row>
    <row r="98" spans="1:12">
      <c r="A98" s="49" t="s">
        <v>538</v>
      </c>
      <c r="B98" s="534"/>
      <c r="C98" s="534"/>
      <c r="D98" s="534"/>
      <c r="E98" s="34"/>
      <c r="F98" s="18"/>
      <c r="G98" s="18"/>
      <c r="H98" s="18"/>
      <c r="I98" s="48"/>
      <c r="J98" s="18"/>
      <c r="K98" s="18"/>
      <c r="L98" s="18"/>
    </row>
    <row r="99" spans="1:12">
      <c r="A99" s="45"/>
      <c r="B99" s="18"/>
      <c r="C99" s="34"/>
      <c r="D99" s="18"/>
      <c r="E99" s="34"/>
      <c r="F99" s="18"/>
      <c r="G99" s="18"/>
      <c r="H99" s="18"/>
      <c r="I99" s="48"/>
      <c r="J99" s="18"/>
      <c r="K99" s="18"/>
      <c r="L99" s="18"/>
    </row>
    <row r="100" spans="1:12">
      <c r="A100" s="45" t="s">
        <v>522</v>
      </c>
      <c r="B100" s="47" t="s">
        <v>535</v>
      </c>
      <c r="C100" s="34" t="s">
        <v>523</v>
      </c>
      <c r="D100" s="47" t="s">
        <v>535</v>
      </c>
      <c r="E100" s="34" t="s">
        <v>539</v>
      </c>
      <c r="F100" s="18"/>
      <c r="G100" s="18"/>
      <c r="H100" s="18"/>
      <c r="I100" s="48"/>
      <c r="J100" s="18"/>
      <c r="K100" s="18"/>
      <c r="L100" s="18"/>
    </row>
    <row r="101" spans="1:12">
      <c r="A101" s="45"/>
      <c r="B101" s="47"/>
      <c r="C101" s="34" t="s">
        <v>526</v>
      </c>
      <c r="D101" s="47" t="s">
        <v>535</v>
      </c>
      <c r="E101" s="34" t="s">
        <v>540</v>
      </c>
      <c r="F101" s="18"/>
      <c r="G101" s="18"/>
      <c r="H101" s="18"/>
      <c r="I101" s="48"/>
      <c r="J101" s="18"/>
      <c r="K101" s="18"/>
      <c r="L101" s="18"/>
    </row>
    <row r="102" spans="1:12">
      <c r="A102" s="45"/>
      <c r="B102" s="18"/>
      <c r="C102" s="18"/>
      <c r="D102" s="18"/>
      <c r="E102" s="18"/>
      <c r="F102" s="18"/>
      <c r="G102" s="18"/>
      <c r="H102" s="18"/>
      <c r="I102" s="48"/>
      <c r="J102" s="18"/>
      <c r="K102" s="18"/>
      <c r="L102" s="18"/>
    </row>
    <row r="103" spans="1:12">
      <c r="A103" s="45" t="s">
        <v>531</v>
      </c>
      <c r="B103" s="46" t="s">
        <v>121</v>
      </c>
      <c r="C103" s="18"/>
      <c r="D103" s="18"/>
      <c r="E103" s="18"/>
      <c r="F103" s="18"/>
      <c r="G103" s="18"/>
      <c r="H103" s="18"/>
      <c r="I103" s="48"/>
      <c r="J103" s="18"/>
      <c r="K103" s="18"/>
      <c r="L103" s="18"/>
    </row>
    <row r="104" spans="1:12">
      <c r="A104" s="45"/>
      <c r="B104" s="46" t="s">
        <v>541</v>
      </c>
      <c r="C104" s="18"/>
      <c r="D104" s="18"/>
      <c r="E104" s="18"/>
      <c r="F104" s="18"/>
      <c r="G104" s="18"/>
      <c r="H104" s="18"/>
      <c r="I104" s="48"/>
      <c r="J104" s="18"/>
      <c r="K104" s="18"/>
      <c r="L104" s="18"/>
    </row>
    <row r="105" spans="1:12">
      <c r="A105" s="45"/>
      <c r="B105" s="46"/>
      <c r="C105" s="18"/>
      <c r="D105" s="18"/>
      <c r="E105" s="18"/>
      <c r="F105" s="18"/>
      <c r="G105" s="18"/>
      <c r="H105" s="18"/>
      <c r="I105" s="48"/>
      <c r="J105" s="18"/>
      <c r="K105" s="18"/>
      <c r="L105" s="18"/>
    </row>
    <row r="106" spans="1:12">
      <c r="A106" s="45"/>
      <c r="B106" s="46"/>
      <c r="C106" s="18"/>
      <c r="D106" s="18"/>
      <c r="E106" s="18"/>
      <c r="F106" s="18"/>
      <c r="G106" s="18"/>
      <c r="H106" s="18"/>
      <c r="I106" s="48"/>
      <c r="J106" s="18"/>
      <c r="K106" s="18"/>
      <c r="L106" s="18"/>
    </row>
    <row r="107" spans="1:12">
      <c r="A107" s="45"/>
      <c r="B107" s="46"/>
      <c r="C107" s="18"/>
      <c r="D107" s="18"/>
      <c r="E107" s="18"/>
      <c r="F107" s="18"/>
      <c r="G107" s="18"/>
      <c r="H107" s="18"/>
      <c r="I107" s="48"/>
      <c r="J107" s="18"/>
      <c r="K107" s="18"/>
      <c r="L107" s="18"/>
    </row>
    <row r="108" spans="1:12">
      <c r="A108" s="45"/>
      <c r="B108" s="46"/>
      <c r="C108" s="18"/>
      <c r="D108" s="18"/>
      <c r="E108" s="18"/>
      <c r="F108" s="18"/>
      <c r="G108" s="18"/>
      <c r="H108" s="18"/>
      <c r="I108" s="48"/>
      <c r="J108" s="18"/>
      <c r="K108" s="18"/>
      <c r="L108" s="18"/>
    </row>
    <row r="109" spans="1:12">
      <c r="A109" s="45"/>
      <c r="B109" s="46"/>
      <c r="C109" s="18"/>
      <c r="D109" s="18"/>
      <c r="E109" s="18"/>
      <c r="F109" s="18"/>
      <c r="G109" s="18"/>
      <c r="H109" s="18"/>
      <c r="I109" s="48"/>
      <c r="J109" s="18"/>
      <c r="K109" s="18"/>
      <c r="L109" s="18"/>
    </row>
    <row r="110" spans="1:12">
      <c r="A110" s="45"/>
      <c r="B110" s="46"/>
      <c r="C110" s="18"/>
      <c r="D110" s="18"/>
      <c r="E110" s="18"/>
      <c r="F110" s="18"/>
      <c r="G110" s="18"/>
      <c r="H110" s="18"/>
      <c r="I110" s="48"/>
      <c r="J110" s="18"/>
      <c r="K110" s="18"/>
      <c r="L110" s="18"/>
    </row>
    <row r="111" spans="1:12" ht="15.75" thickBot="1">
      <c r="A111" s="58"/>
      <c r="B111" s="53"/>
      <c r="C111" s="54"/>
      <c r="D111" s="54"/>
      <c r="E111" s="54"/>
      <c r="F111" s="54"/>
      <c r="G111" s="54"/>
      <c r="H111" s="54"/>
      <c r="I111" s="55"/>
      <c r="J111" s="18"/>
      <c r="K111" s="18"/>
      <c r="L111" s="18"/>
    </row>
    <row r="112" spans="1:12" ht="15.75" thickBot="1">
      <c r="A112" s="18"/>
      <c r="B112" s="18"/>
      <c r="C112" s="18"/>
      <c r="D112" s="18"/>
      <c r="E112" s="18"/>
      <c r="F112" s="18"/>
      <c r="G112" s="18"/>
      <c r="H112" s="18"/>
      <c r="I112" s="18"/>
      <c r="J112" s="18"/>
      <c r="K112" s="18"/>
      <c r="L112" s="18"/>
    </row>
    <row r="113" spans="1:12">
      <c r="A113" s="41" t="s">
        <v>181</v>
      </c>
      <c r="B113" s="59" t="s">
        <v>535</v>
      </c>
      <c r="C113" s="43"/>
      <c r="D113" s="43"/>
      <c r="E113" s="43"/>
      <c r="F113" s="43"/>
      <c r="G113" s="43"/>
      <c r="H113" s="43"/>
      <c r="I113" s="44"/>
      <c r="J113" s="18"/>
      <c r="K113" s="18"/>
      <c r="L113" s="18"/>
    </row>
    <row r="114" spans="1:12" ht="30">
      <c r="A114" s="45" t="s">
        <v>493</v>
      </c>
      <c r="B114" s="46" t="s">
        <v>542</v>
      </c>
      <c r="C114" s="18"/>
      <c r="D114" s="18"/>
      <c r="E114" s="18"/>
      <c r="F114" s="18"/>
      <c r="G114" s="18"/>
      <c r="H114" s="18"/>
      <c r="I114" s="48"/>
      <c r="J114" s="18"/>
      <c r="K114" s="18"/>
      <c r="L114" s="18"/>
    </row>
    <row r="115" spans="1:12">
      <c r="A115" s="45" t="s">
        <v>495</v>
      </c>
      <c r="B115" s="56">
        <f>Planner!$F$46</f>
        <v>0</v>
      </c>
      <c r="C115" s="37" t="s">
        <v>496</v>
      </c>
      <c r="D115" s="56">
        <f>Planner!$H$46</f>
        <v>0</v>
      </c>
      <c r="E115" s="18"/>
      <c r="F115" s="18"/>
      <c r="G115" s="18"/>
      <c r="H115" s="18"/>
      <c r="I115" s="48"/>
      <c r="J115" s="18"/>
      <c r="K115" s="18"/>
      <c r="L115" s="18"/>
    </row>
    <row r="116" spans="1:12">
      <c r="A116" s="45" t="s">
        <v>454</v>
      </c>
      <c r="B116" s="18">
        <f>Planner!$C$46</f>
        <v>0</v>
      </c>
      <c r="C116" s="34"/>
      <c r="D116" s="18"/>
      <c r="E116" s="18"/>
      <c r="F116" s="18"/>
      <c r="G116" s="18"/>
      <c r="H116" s="18"/>
      <c r="I116" s="48"/>
      <c r="J116" s="18"/>
      <c r="K116" s="18"/>
      <c r="L116" s="18"/>
    </row>
    <row r="117" spans="1:12" ht="30">
      <c r="A117" s="45" t="s">
        <v>305</v>
      </c>
      <c r="B117" s="18">
        <f>Planner!$C$47</f>
        <v>0</v>
      </c>
      <c r="C117" s="37" t="s">
        <v>543</v>
      </c>
      <c r="D117" s="60"/>
      <c r="E117" s="18"/>
      <c r="F117" s="18"/>
      <c r="G117" s="18"/>
      <c r="H117" s="18"/>
      <c r="I117" s="48"/>
      <c r="J117" s="18"/>
      <c r="K117" s="18"/>
      <c r="L117" s="18"/>
    </row>
    <row r="118" spans="1:12">
      <c r="A118" s="536" t="s">
        <v>544</v>
      </c>
      <c r="B118" s="532" t="str">
        <f>Planner!$E$47</f>
        <v>SELECT COLD OPTION</v>
      </c>
      <c r="C118" s="532"/>
      <c r="D118" s="532"/>
      <c r="E118" s="539" t="s">
        <v>545</v>
      </c>
      <c r="F118" s="534"/>
      <c r="G118" s="534"/>
      <c r="H118" s="534"/>
      <c r="I118" s="534"/>
      <c r="J118" s="531"/>
      <c r="K118" s="531"/>
      <c r="L118" s="531"/>
    </row>
    <row r="119" spans="1:12">
      <c r="A119" s="536"/>
      <c r="B119" s="532" t="str">
        <f>Planner!$E$48</f>
        <v>SELECT COLD OPTION</v>
      </c>
      <c r="C119" s="532"/>
      <c r="D119" s="532"/>
      <c r="E119" s="539"/>
      <c r="F119" s="534"/>
      <c r="G119" s="534"/>
      <c r="H119" s="534"/>
      <c r="I119" s="534"/>
      <c r="J119" s="531"/>
      <c r="K119" s="531"/>
      <c r="L119" s="531"/>
    </row>
    <row r="120" spans="1:12">
      <c r="A120" s="536"/>
      <c r="B120" s="538" t="str">
        <f>Planner!$E$49</f>
        <v>SELECT COLD OPTION</v>
      </c>
      <c r="C120" s="538"/>
      <c r="D120" s="538"/>
      <c r="E120" s="539"/>
      <c r="F120" s="534"/>
      <c r="G120" s="534"/>
      <c r="H120" s="534"/>
      <c r="I120" s="534"/>
      <c r="J120" s="531"/>
      <c r="K120" s="531"/>
      <c r="L120" s="531"/>
    </row>
    <row r="121" spans="1:12">
      <c r="A121" s="536"/>
      <c r="B121" s="540" t="str">
        <f>Planner!$E$50</f>
        <v>SELECT HOT OPTION</v>
      </c>
      <c r="C121" s="540"/>
      <c r="D121" s="540"/>
      <c r="E121" s="539"/>
      <c r="F121" s="534"/>
      <c r="G121" s="534"/>
      <c r="H121" s="534"/>
      <c r="I121" s="534"/>
      <c r="J121" s="531"/>
      <c r="K121" s="531"/>
      <c r="L121" s="531"/>
    </row>
    <row r="122" spans="1:12">
      <c r="A122" s="536"/>
      <c r="B122" s="532" t="str">
        <f>Planner!$E$51</f>
        <v>SELECT HOT OPTION</v>
      </c>
      <c r="C122" s="532"/>
      <c r="D122" s="532"/>
      <c r="E122" s="539"/>
      <c r="F122" s="534"/>
      <c r="G122" s="534"/>
      <c r="H122" s="534"/>
      <c r="I122" s="534"/>
      <c r="J122" s="531"/>
      <c r="K122" s="531"/>
      <c r="L122" s="531"/>
    </row>
    <row r="123" spans="1:12">
      <c r="A123" s="536"/>
      <c r="B123" s="538" t="str">
        <f>Planner!$E$52</f>
        <v>SELECT HOT OPTION</v>
      </c>
      <c r="C123" s="538"/>
      <c r="D123" s="538"/>
      <c r="E123" s="539"/>
      <c r="F123" s="534"/>
      <c r="G123" s="534"/>
      <c r="H123" s="534"/>
      <c r="I123" s="534"/>
      <c r="J123" s="531"/>
      <c r="K123" s="531"/>
      <c r="L123" s="531"/>
    </row>
    <row r="124" spans="1:12" ht="30">
      <c r="A124" s="45" t="s">
        <v>501</v>
      </c>
      <c r="B124" s="47"/>
      <c r="C124" s="34" t="s">
        <v>506</v>
      </c>
      <c r="D124" s="47"/>
      <c r="E124" s="34" t="s">
        <v>510</v>
      </c>
      <c r="F124" s="18"/>
      <c r="G124" s="535"/>
      <c r="H124" s="535"/>
      <c r="I124" s="535"/>
      <c r="J124" s="18"/>
      <c r="K124" s="18"/>
      <c r="L124" s="18"/>
    </row>
    <row r="125" spans="1:12">
      <c r="A125" s="45"/>
      <c r="B125" s="47"/>
      <c r="C125" s="34" t="s">
        <v>513</v>
      </c>
      <c r="D125" s="47" t="s">
        <v>535</v>
      </c>
      <c r="E125" s="34" t="s">
        <v>511</v>
      </c>
      <c r="F125" s="18"/>
      <c r="G125" s="18"/>
      <c r="H125" s="18"/>
      <c r="I125" s="48"/>
      <c r="J125" s="18"/>
      <c r="K125" s="18"/>
      <c r="L125" s="18"/>
    </row>
    <row r="126" spans="1:12">
      <c r="A126" s="45"/>
      <c r="B126" s="18"/>
      <c r="C126" s="34"/>
      <c r="D126" s="18"/>
      <c r="E126" s="34"/>
      <c r="F126" s="18"/>
      <c r="G126" s="18"/>
      <c r="H126" s="18"/>
      <c r="I126" s="48"/>
      <c r="J126" s="18"/>
      <c r="K126" s="18"/>
      <c r="L126" s="18"/>
    </row>
    <row r="127" spans="1:12">
      <c r="A127" s="45" t="s">
        <v>522</v>
      </c>
      <c r="B127" s="47" t="s">
        <v>535</v>
      </c>
      <c r="C127" s="34" t="s">
        <v>546</v>
      </c>
      <c r="D127" s="47" t="s">
        <v>535</v>
      </c>
      <c r="E127" s="34" t="s">
        <v>526</v>
      </c>
      <c r="F127" s="18"/>
      <c r="G127" s="18"/>
      <c r="H127" s="18"/>
      <c r="I127" s="48"/>
      <c r="J127" s="18"/>
      <c r="K127" s="18"/>
      <c r="L127" s="18"/>
    </row>
    <row r="128" spans="1:12">
      <c r="A128" s="45"/>
      <c r="B128" s="47" t="s">
        <v>535</v>
      </c>
      <c r="C128" s="34" t="s">
        <v>547</v>
      </c>
      <c r="D128" s="47"/>
      <c r="E128" s="34" t="s">
        <v>528</v>
      </c>
      <c r="F128" s="18"/>
      <c r="G128" s="18"/>
      <c r="H128" s="18"/>
      <c r="I128" s="48"/>
      <c r="J128" s="18"/>
      <c r="K128" s="18"/>
      <c r="L128" s="18"/>
    </row>
    <row r="129" spans="1:12">
      <c r="A129" s="45"/>
      <c r="B129" s="47"/>
      <c r="C129" s="34" t="s">
        <v>511</v>
      </c>
      <c r="D129" s="47"/>
      <c r="E129" s="34" t="s">
        <v>548</v>
      </c>
      <c r="F129" s="18"/>
      <c r="G129" s="18"/>
      <c r="H129" s="18"/>
      <c r="I129" s="48"/>
      <c r="J129" s="18"/>
      <c r="K129" s="18"/>
      <c r="L129" s="18"/>
    </row>
    <row r="130" spans="1:12">
      <c r="A130" s="45"/>
      <c r="B130" s="47" t="s">
        <v>535</v>
      </c>
      <c r="C130" s="34" t="s">
        <v>525</v>
      </c>
      <c r="D130" s="18"/>
      <c r="E130" s="18"/>
      <c r="F130" s="18"/>
      <c r="G130" s="18"/>
      <c r="H130" s="18"/>
      <c r="I130" s="48"/>
      <c r="J130" s="18"/>
      <c r="K130" s="18"/>
      <c r="L130" s="18"/>
    </row>
    <row r="131" spans="1:12">
      <c r="A131" s="45"/>
      <c r="B131" s="18"/>
      <c r="C131" s="18"/>
      <c r="D131" s="18"/>
      <c r="E131" s="18"/>
      <c r="F131" s="18"/>
      <c r="G131" s="18"/>
      <c r="H131" s="18"/>
      <c r="I131" s="48"/>
      <c r="J131" s="18"/>
      <c r="K131" s="18"/>
      <c r="L131" s="18"/>
    </row>
    <row r="132" spans="1:12">
      <c r="A132" s="45" t="s">
        <v>531</v>
      </c>
      <c r="B132" s="46" t="s">
        <v>427</v>
      </c>
      <c r="C132" s="18"/>
      <c r="D132" s="18"/>
      <c r="E132" s="18"/>
      <c r="F132" s="18"/>
      <c r="G132" s="18"/>
      <c r="H132" s="18"/>
      <c r="I132" s="48"/>
      <c r="J132" s="18"/>
      <c r="K132" s="18"/>
      <c r="L132" s="18"/>
    </row>
    <row r="133" spans="1:12">
      <c r="A133" s="51"/>
      <c r="B133" s="46"/>
      <c r="C133" s="18"/>
      <c r="D133" s="18"/>
      <c r="E133" s="18"/>
      <c r="F133" s="18"/>
      <c r="G133" s="18"/>
      <c r="H133" s="18"/>
      <c r="I133" s="48"/>
      <c r="J133" s="18"/>
      <c r="K133" s="18"/>
      <c r="L133" s="18"/>
    </row>
    <row r="134" spans="1:12">
      <c r="A134" s="51"/>
      <c r="B134" s="46"/>
      <c r="C134" s="18"/>
      <c r="D134" s="18"/>
      <c r="E134" s="18"/>
      <c r="F134" s="18"/>
      <c r="G134" s="18"/>
      <c r="H134" s="18"/>
      <c r="I134" s="48"/>
      <c r="J134" s="18"/>
      <c r="K134" s="18"/>
      <c r="L134" s="18"/>
    </row>
    <row r="135" spans="1:12">
      <c r="A135" s="51"/>
      <c r="B135" s="46"/>
      <c r="C135" s="18"/>
      <c r="D135" s="18"/>
      <c r="E135" s="18"/>
      <c r="F135" s="18"/>
      <c r="G135" s="18"/>
      <c r="H135" s="18"/>
      <c r="I135" s="48"/>
      <c r="J135" s="18"/>
      <c r="K135" s="18"/>
      <c r="L135" s="18"/>
    </row>
    <row r="136" spans="1:12">
      <c r="A136" s="51"/>
      <c r="B136" s="46"/>
      <c r="C136" s="18"/>
      <c r="D136" s="18"/>
      <c r="E136" s="18"/>
      <c r="F136" s="18"/>
      <c r="G136" s="18"/>
      <c r="H136" s="18"/>
      <c r="I136" s="48"/>
      <c r="J136" s="18"/>
      <c r="K136" s="18"/>
      <c r="L136" s="18"/>
    </row>
    <row r="137" spans="1:12">
      <c r="A137" s="51"/>
      <c r="B137" s="46"/>
      <c r="C137" s="18"/>
      <c r="D137" s="18"/>
      <c r="E137" s="18"/>
      <c r="F137" s="18"/>
      <c r="G137" s="18"/>
      <c r="H137" s="18"/>
      <c r="I137" s="48"/>
      <c r="J137" s="18"/>
      <c r="K137" s="18"/>
      <c r="L137" s="18"/>
    </row>
    <row r="138" spans="1:12">
      <c r="A138" s="51"/>
      <c r="B138" s="46"/>
      <c r="C138" s="18"/>
      <c r="D138" s="18"/>
      <c r="E138" s="18"/>
      <c r="F138" s="18"/>
      <c r="G138" s="18"/>
      <c r="H138" s="18"/>
      <c r="I138" s="48"/>
      <c r="J138" s="18"/>
      <c r="K138" s="18"/>
      <c r="L138" s="18"/>
    </row>
    <row r="139" spans="1:12" ht="15.75" thickBot="1">
      <c r="A139" s="52"/>
      <c r="B139" s="53"/>
      <c r="C139" s="54"/>
      <c r="D139" s="54"/>
      <c r="E139" s="54"/>
      <c r="F139" s="54"/>
      <c r="G139" s="54"/>
      <c r="H139" s="54"/>
      <c r="I139" s="55"/>
      <c r="J139" s="18"/>
      <c r="K139" s="18"/>
      <c r="L139" s="18"/>
    </row>
    <row r="140" spans="1:12" ht="15.75" thickBot="1">
      <c r="A140" s="18"/>
      <c r="B140" s="18"/>
      <c r="C140" s="18"/>
      <c r="D140" s="18"/>
      <c r="E140" s="18"/>
      <c r="F140" s="18"/>
      <c r="G140" s="18"/>
      <c r="H140" s="18"/>
      <c r="I140" s="18"/>
      <c r="J140" s="18"/>
      <c r="K140" s="18"/>
      <c r="L140" s="18"/>
    </row>
    <row r="141" spans="1:12" ht="30">
      <c r="A141" s="41" t="s">
        <v>549</v>
      </c>
      <c r="B141" s="59"/>
      <c r="C141" s="43"/>
      <c r="D141" s="43"/>
      <c r="E141" s="44"/>
      <c r="F141" s="18"/>
      <c r="G141" s="61" t="s">
        <v>550</v>
      </c>
      <c r="H141" s="59" t="s">
        <v>535</v>
      </c>
      <c r="I141" s="43"/>
      <c r="J141" s="537" t="s">
        <v>551</v>
      </c>
      <c r="K141" s="537"/>
      <c r="L141" s="18"/>
    </row>
    <row r="142" spans="1:12">
      <c r="A142" s="45" t="s">
        <v>493</v>
      </c>
      <c r="B142" s="46"/>
      <c r="C142" s="18"/>
      <c r="D142" s="18"/>
      <c r="E142" s="48"/>
      <c r="F142" s="18"/>
      <c r="G142" s="45" t="s">
        <v>552</v>
      </c>
      <c r="H142" s="79" t="s">
        <v>553</v>
      </c>
      <c r="I142" s="18"/>
      <c r="J142" s="532" t="str">
        <f>Planner!$E$81</f>
        <v>Photo</v>
      </c>
      <c r="K142" s="532"/>
      <c r="L142" s="18"/>
    </row>
    <row r="143" spans="1:12" ht="30">
      <c r="A143" s="45" t="s">
        <v>495</v>
      </c>
      <c r="B143" s="78" t="s">
        <v>593</v>
      </c>
      <c r="C143" s="37" t="s">
        <v>496</v>
      </c>
      <c r="D143" s="35"/>
      <c r="E143" s="48"/>
      <c r="F143" s="18"/>
      <c r="G143" s="45" t="s">
        <v>554</v>
      </c>
      <c r="H143" s="46" t="s">
        <v>555</v>
      </c>
      <c r="I143" s="18"/>
      <c r="J143" s="532"/>
      <c r="K143" s="532"/>
      <c r="L143" s="18"/>
    </row>
    <row r="144" spans="1:12">
      <c r="A144" s="45" t="s">
        <v>454</v>
      </c>
      <c r="B144" s="18">
        <f>Planner!$C$61</f>
        <v>0</v>
      </c>
      <c r="C144" s="37" t="s">
        <v>494</v>
      </c>
      <c r="D144" s="56">
        <f>Planner!$I$207+Planner!$I$208</f>
        <v>0</v>
      </c>
      <c r="E144" s="48"/>
      <c r="F144" s="18"/>
      <c r="G144" s="45"/>
      <c r="H144" s="34" t="s">
        <v>333</v>
      </c>
      <c r="I144" s="34" t="s">
        <v>334</v>
      </c>
      <c r="J144" s="532"/>
      <c r="K144" s="532"/>
      <c r="L144" s="18"/>
    </row>
    <row r="145" spans="1:12" ht="30">
      <c r="A145" s="45" t="s">
        <v>305</v>
      </c>
      <c r="B145" s="18">
        <f>Planner!$C$62</f>
        <v>0</v>
      </c>
      <c r="C145" s="37" t="s">
        <v>543</v>
      </c>
      <c r="D145" s="46"/>
      <c r="E145" s="48"/>
      <c r="F145" s="18"/>
      <c r="G145" s="45" t="s">
        <v>556</v>
      </c>
      <c r="H145" s="18">
        <f>Planner!$C$82</f>
        <v>0</v>
      </c>
      <c r="I145" s="18">
        <f>Planner!$D$82</f>
        <v>0</v>
      </c>
      <c r="J145" s="532"/>
      <c r="K145" s="532"/>
      <c r="L145" s="18"/>
    </row>
    <row r="146" spans="1:12">
      <c r="A146" s="49" t="s">
        <v>557</v>
      </c>
      <c r="B146" s="529"/>
      <c r="C146" s="529"/>
      <c r="D146" s="529"/>
      <c r="E146" s="48"/>
      <c r="F146" s="18"/>
      <c r="G146" s="45" t="s">
        <v>558</v>
      </c>
      <c r="H146" s="18">
        <f>Planner!$C$83</f>
        <v>0</v>
      </c>
      <c r="I146" s="18">
        <f>Planner!$D$83</f>
        <v>0</v>
      </c>
      <c r="J146" s="532"/>
      <c r="K146" s="532"/>
      <c r="L146" s="18"/>
    </row>
    <row r="147" spans="1:12" ht="30.75" thickBot="1">
      <c r="A147" s="45" t="s">
        <v>501</v>
      </c>
      <c r="B147" s="47"/>
      <c r="C147" s="34" t="s">
        <v>506</v>
      </c>
      <c r="D147" s="47"/>
      <c r="E147" s="62" t="s">
        <v>514</v>
      </c>
      <c r="F147" s="18"/>
      <c r="G147" s="58" t="s">
        <v>559</v>
      </c>
      <c r="H147" s="54">
        <f>Planner!$C$84</f>
        <v>0</v>
      </c>
      <c r="I147" s="54">
        <f>Planner!$D$84</f>
        <v>0</v>
      </c>
      <c r="J147" s="532"/>
      <c r="K147" s="532"/>
      <c r="L147" s="18"/>
    </row>
    <row r="148" spans="1:12">
      <c r="A148" s="51"/>
      <c r="B148" s="47"/>
      <c r="C148" s="34" t="s">
        <v>512</v>
      </c>
      <c r="D148" s="47"/>
      <c r="E148" s="62" t="s">
        <v>516</v>
      </c>
      <c r="F148" s="18"/>
      <c r="G148" s="18"/>
      <c r="H148" s="18"/>
      <c r="I148" s="18"/>
      <c r="J148" s="18"/>
      <c r="K148" s="18"/>
      <c r="L148" s="18"/>
    </row>
    <row r="149" spans="1:12" ht="15.75" thickBot="1">
      <c r="A149" s="52"/>
      <c r="B149" s="63"/>
      <c r="C149" s="64" t="s">
        <v>520</v>
      </c>
      <c r="D149" s="63"/>
      <c r="E149" s="65" t="s">
        <v>518</v>
      </c>
      <c r="F149" s="18"/>
      <c r="G149" s="18"/>
      <c r="H149" s="18"/>
      <c r="I149" s="18"/>
      <c r="J149" s="18"/>
      <c r="K149" s="18"/>
      <c r="L149" s="18"/>
    </row>
    <row r="150" spans="1:12" ht="15.75" thickBot="1">
      <c r="A150" s="18"/>
      <c r="B150" s="18"/>
      <c r="C150" s="18"/>
      <c r="D150" s="18"/>
      <c r="E150" s="18"/>
      <c r="F150" s="18"/>
      <c r="G150" s="18"/>
      <c r="H150" s="18"/>
      <c r="I150" s="18"/>
      <c r="J150" s="18"/>
      <c r="K150" s="18"/>
      <c r="L150" s="18"/>
    </row>
    <row r="151" spans="1:12">
      <c r="A151" s="41" t="s">
        <v>560</v>
      </c>
      <c r="B151" s="59" t="s">
        <v>535</v>
      </c>
      <c r="C151" s="43"/>
      <c r="D151" s="43"/>
      <c r="E151" s="43"/>
      <c r="F151" s="43"/>
      <c r="G151" s="43"/>
      <c r="H151" s="43"/>
      <c r="I151" s="44"/>
      <c r="J151" s="18"/>
      <c r="K151" s="18"/>
      <c r="L151" s="18"/>
    </row>
    <row r="152" spans="1:12" ht="45">
      <c r="A152" s="45" t="s">
        <v>493</v>
      </c>
      <c r="B152" s="46" t="s">
        <v>561</v>
      </c>
      <c r="C152" s="18"/>
      <c r="D152" s="18"/>
      <c r="E152" s="18"/>
      <c r="F152" s="18"/>
      <c r="G152" s="18"/>
      <c r="H152" s="18"/>
      <c r="I152" s="48"/>
      <c r="J152" s="18"/>
      <c r="K152" s="18"/>
      <c r="L152" s="18"/>
    </row>
    <row r="153" spans="1:12">
      <c r="A153" s="45" t="s">
        <v>495</v>
      </c>
      <c r="B153" s="56">
        <f>Planner!$G$67</f>
        <v>0</v>
      </c>
      <c r="C153" s="37" t="s">
        <v>496</v>
      </c>
      <c r="D153" s="56">
        <f>Planner!$I$67</f>
        <v>0</v>
      </c>
      <c r="E153" s="18"/>
      <c r="F153" s="18"/>
      <c r="G153" s="18"/>
      <c r="H153" s="18"/>
      <c r="I153" s="48"/>
      <c r="J153" s="18"/>
      <c r="K153" s="18"/>
      <c r="L153" s="18"/>
    </row>
    <row r="154" spans="1:12">
      <c r="A154" s="45" t="s">
        <v>454</v>
      </c>
      <c r="B154" s="18">
        <f>Planner!$C$67</f>
        <v>0</v>
      </c>
      <c r="C154" s="37" t="s">
        <v>494</v>
      </c>
      <c r="D154" s="56">
        <f>Planner!$I$207+Planner!$I$208</f>
        <v>0</v>
      </c>
      <c r="E154" s="18"/>
      <c r="F154" s="18"/>
      <c r="G154" s="18"/>
      <c r="H154" s="18"/>
      <c r="I154" s="48"/>
      <c r="J154" s="18"/>
      <c r="K154" s="18"/>
      <c r="L154" s="18"/>
    </row>
    <row r="155" spans="1:12">
      <c r="A155" s="45" t="s">
        <v>497</v>
      </c>
      <c r="B155" s="18">
        <f>Planner!$C$69</f>
        <v>0</v>
      </c>
      <c r="C155" s="37" t="s">
        <v>498</v>
      </c>
      <c r="D155" s="40"/>
      <c r="E155" s="18"/>
      <c r="F155" s="18"/>
      <c r="G155" s="18"/>
      <c r="H155" s="18"/>
      <c r="I155" s="48"/>
      <c r="J155" s="18"/>
      <c r="K155" s="18"/>
      <c r="L155" s="18"/>
    </row>
    <row r="156" spans="1:12">
      <c r="A156" s="45"/>
      <c r="B156" s="18">
        <f>Planner!$C$70</f>
        <v>0</v>
      </c>
      <c r="C156" s="34"/>
      <c r="D156" s="46"/>
      <c r="E156" s="18"/>
      <c r="F156" s="18"/>
      <c r="G156" s="18"/>
      <c r="H156" s="18"/>
      <c r="I156" s="48"/>
      <c r="J156" s="18"/>
      <c r="K156" s="18"/>
      <c r="L156" s="18"/>
    </row>
    <row r="157" spans="1:12">
      <c r="A157" s="45"/>
      <c r="B157" s="18">
        <f>Planner!$C$71</f>
        <v>0</v>
      </c>
      <c r="C157" s="34"/>
      <c r="D157" s="46"/>
      <c r="E157" s="18"/>
      <c r="F157" s="18"/>
      <c r="G157" s="18"/>
      <c r="H157" s="18"/>
      <c r="I157" s="48"/>
      <c r="J157" s="18"/>
      <c r="K157" s="18"/>
      <c r="L157" s="18"/>
    </row>
    <row r="158" spans="1:12">
      <c r="A158" s="45"/>
      <c r="B158" s="18">
        <f>Planner!$C$72</f>
        <v>0</v>
      </c>
      <c r="C158" s="34"/>
      <c r="D158" s="46"/>
      <c r="E158" s="18"/>
      <c r="F158" s="18"/>
      <c r="G158" s="18"/>
      <c r="H158" s="18"/>
      <c r="I158" s="48"/>
      <c r="J158" s="18"/>
      <c r="K158" s="18"/>
      <c r="L158" s="18"/>
    </row>
    <row r="159" spans="1:12">
      <c r="A159" s="45"/>
      <c r="B159" s="18">
        <f>Planner!$C$73</f>
        <v>0</v>
      </c>
      <c r="C159" s="34"/>
      <c r="D159" s="46"/>
      <c r="E159" s="18"/>
      <c r="F159" s="18"/>
      <c r="G159" s="18"/>
      <c r="H159" s="18"/>
      <c r="I159" s="48"/>
      <c r="J159" s="18"/>
      <c r="K159" s="18"/>
      <c r="L159" s="18"/>
    </row>
    <row r="160" spans="1:12">
      <c r="A160" s="45"/>
      <c r="B160" s="18">
        <f>Planner!$C$74</f>
        <v>0</v>
      </c>
      <c r="C160" s="34"/>
      <c r="D160" s="46"/>
      <c r="E160" s="18"/>
      <c r="F160" s="18"/>
      <c r="G160" s="18"/>
      <c r="H160" s="18"/>
      <c r="I160" s="48"/>
      <c r="J160" s="18"/>
      <c r="K160" s="18"/>
      <c r="L160" s="18"/>
    </row>
    <row r="161" spans="1:12">
      <c r="A161" s="45"/>
      <c r="B161" s="18">
        <f>Planner!$C$75</f>
        <v>0</v>
      </c>
      <c r="C161" s="34"/>
      <c r="D161" s="46"/>
      <c r="E161" s="18"/>
      <c r="F161" s="18"/>
      <c r="G161" s="18"/>
      <c r="H161" s="18"/>
      <c r="I161" s="48"/>
      <c r="J161" s="18"/>
      <c r="K161" s="18"/>
      <c r="L161" s="18"/>
    </row>
    <row r="162" spans="1:12">
      <c r="A162" s="45"/>
      <c r="B162" s="18">
        <f>Planner!$C$76</f>
        <v>0</v>
      </c>
      <c r="C162" s="34"/>
      <c r="D162" s="46"/>
      <c r="E162" s="18"/>
      <c r="F162" s="18"/>
      <c r="G162" s="18"/>
      <c r="H162" s="18"/>
      <c r="I162" s="48"/>
      <c r="J162" s="18"/>
      <c r="K162" s="18"/>
      <c r="L162" s="18"/>
    </row>
    <row r="163" spans="1:12">
      <c r="A163" s="536" t="s">
        <v>557</v>
      </c>
      <c r="B163" s="534"/>
      <c r="C163" s="534"/>
      <c r="D163" s="534"/>
      <c r="E163" s="531"/>
      <c r="F163" s="531"/>
      <c r="G163" s="531"/>
      <c r="H163" s="531"/>
      <c r="I163" s="533"/>
      <c r="J163" s="530"/>
      <c r="K163" s="531"/>
      <c r="L163" s="531"/>
    </row>
    <row r="164" spans="1:12">
      <c r="A164" s="536"/>
      <c r="B164" s="534"/>
      <c r="C164" s="534"/>
      <c r="D164" s="534"/>
      <c r="E164" s="531"/>
      <c r="F164" s="531"/>
      <c r="G164" s="531"/>
      <c r="H164" s="531"/>
      <c r="I164" s="533"/>
      <c r="J164" s="530"/>
      <c r="K164" s="531"/>
      <c r="L164" s="531"/>
    </row>
    <row r="165" spans="1:12">
      <c r="A165" s="45" t="s">
        <v>501</v>
      </c>
      <c r="B165" s="47"/>
      <c r="C165" s="34" t="s">
        <v>502</v>
      </c>
      <c r="D165" s="47"/>
      <c r="E165" s="34" t="s">
        <v>503</v>
      </c>
      <c r="F165" s="18"/>
      <c r="G165" s="34"/>
      <c r="H165" s="18"/>
      <c r="I165" s="48"/>
      <c r="J165" s="18"/>
      <c r="K165" s="18"/>
      <c r="L165" s="18"/>
    </row>
    <row r="166" spans="1:12">
      <c r="A166" s="45"/>
      <c r="B166" s="47"/>
      <c r="C166" s="34" t="s">
        <v>504</v>
      </c>
      <c r="D166" s="47"/>
      <c r="E166" s="34" t="s">
        <v>505</v>
      </c>
      <c r="F166" s="18"/>
      <c r="G166" s="34"/>
      <c r="H166" s="18"/>
      <c r="I166" s="48"/>
      <c r="J166" s="18"/>
      <c r="K166" s="18"/>
      <c r="L166" s="18"/>
    </row>
    <row r="167" spans="1:12" ht="30">
      <c r="A167" s="45"/>
      <c r="B167" s="47"/>
      <c r="C167" s="34" t="s">
        <v>506</v>
      </c>
      <c r="D167" s="47" t="s">
        <v>535</v>
      </c>
      <c r="E167" s="34" t="s">
        <v>507</v>
      </c>
      <c r="F167" s="18"/>
      <c r="G167" s="34"/>
      <c r="H167" s="18"/>
      <c r="I167" s="48"/>
      <c r="J167" s="18"/>
      <c r="K167" s="18"/>
      <c r="L167" s="18"/>
    </row>
    <row r="168" spans="1:12" ht="30">
      <c r="A168" s="45"/>
      <c r="B168" s="47"/>
      <c r="C168" s="34" t="s">
        <v>508</v>
      </c>
      <c r="D168" s="47" t="s">
        <v>535</v>
      </c>
      <c r="E168" s="34" t="s">
        <v>509</v>
      </c>
      <c r="F168" s="18"/>
      <c r="G168" s="34"/>
      <c r="H168" s="18"/>
      <c r="I168" s="48"/>
      <c r="J168" s="18"/>
      <c r="K168" s="18"/>
      <c r="L168" s="18"/>
    </row>
    <row r="169" spans="1:12">
      <c r="A169" s="45"/>
      <c r="B169" s="47"/>
      <c r="C169" s="34" t="s">
        <v>511</v>
      </c>
      <c r="D169" s="47" t="s">
        <v>535</v>
      </c>
      <c r="E169" s="34" t="s">
        <v>510</v>
      </c>
      <c r="F169" s="18"/>
      <c r="G169" s="34"/>
      <c r="H169" s="18"/>
      <c r="I169" s="48"/>
      <c r="J169" s="18"/>
      <c r="K169" s="18"/>
      <c r="L169" s="18"/>
    </row>
    <row r="170" spans="1:12">
      <c r="A170" s="45"/>
      <c r="B170" s="47"/>
      <c r="C170" s="34" t="s">
        <v>513</v>
      </c>
      <c r="D170" s="47" t="s">
        <v>535</v>
      </c>
      <c r="E170" s="34" t="s">
        <v>512</v>
      </c>
      <c r="F170" s="18"/>
      <c r="G170" s="34"/>
      <c r="H170" s="18"/>
      <c r="I170" s="48"/>
      <c r="J170" s="18"/>
      <c r="K170" s="18"/>
      <c r="L170" s="18"/>
    </row>
    <row r="171" spans="1:12">
      <c r="A171" s="45"/>
      <c r="B171" s="47"/>
      <c r="C171" s="34" t="s">
        <v>515</v>
      </c>
      <c r="D171" s="47"/>
      <c r="E171" s="34" t="s">
        <v>514</v>
      </c>
      <c r="F171" s="18"/>
      <c r="G171" s="34"/>
      <c r="H171" s="18"/>
      <c r="I171" s="48"/>
      <c r="J171" s="18"/>
      <c r="K171" s="18"/>
      <c r="L171" s="18"/>
    </row>
    <row r="172" spans="1:12" ht="30">
      <c r="A172" s="45"/>
      <c r="B172" s="47"/>
      <c r="C172" s="34" t="s">
        <v>517</v>
      </c>
      <c r="D172" s="47"/>
      <c r="E172" s="34" t="s">
        <v>516</v>
      </c>
      <c r="F172" s="18"/>
      <c r="G172" s="34"/>
      <c r="H172" s="18"/>
      <c r="I172" s="48"/>
      <c r="J172" s="18"/>
      <c r="K172" s="18"/>
      <c r="L172" s="18"/>
    </row>
    <row r="173" spans="1:12" ht="30">
      <c r="A173" s="45"/>
      <c r="B173" s="47"/>
      <c r="C173" s="34" t="s">
        <v>519</v>
      </c>
      <c r="D173" s="47"/>
      <c r="E173" s="34" t="s">
        <v>518</v>
      </c>
      <c r="F173" s="18"/>
      <c r="G173" s="34"/>
      <c r="H173" s="18"/>
      <c r="I173" s="48"/>
      <c r="J173" s="18"/>
      <c r="K173" s="18"/>
      <c r="L173" s="18"/>
    </row>
    <row r="174" spans="1:12">
      <c r="A174" s="45"/>
      <c r="B174" s="47"/>
      <c r="C174" s="34"/>
      <c r="D174" s="47"/>
      <c r="E174" s="34" t="s">
        <v>520</v>
      </c>
      <c r="F174" s="18"/>
      <c r="G174" s="34"/>
      <c r="H174" s="18"/>
      <c r="I174" s="48"/>
      <c r="J174" s="18"/>
      <c r="K174" s="18"/>
      <c r="L174" s="18"/>
    </row>
    <row r="175" spans="1:12">
      <c r="A175" s="45"/>
      <c r="B175" s="18"/>
      <c r="C175" s="18"/>
      <c r="D175" s="18"/>
      <c r="E175" s="18"/>
      <c r="F175" s="18"/>
      <c r="G175" s="18"/>
      <c r="H175" s="18"/>
      <c r="I175" s="48"/>
      <c r="J175" s="18"/>
      <c r="K175" s="18"/>
      <c r="L175" s="18"/>
    </row>
    <row r="176" spans="1:12">
      <c r="A176" s="45" t="s">
        <v>522</v>
      </c>
      <c r="B176" s="47" t="s">
        <v>535</v>
      </c>
      <c r="C176" s="34" t="s">
        <v>523</v>
      </c>
      <c r="D176" s="47"/>
      <c r="E176" s="34" t="s">
        <v>507</v>
      </c>
      <c r="F176" s="18"/>
      <c r="G176" s="18"/>
      <c r="H176" s="18"/>
      <c r="I176" s="48"/>
      <c r="J176" s="18"/>
      <c r="K176" s="18"/>
      <c r="L176" s="18"/>
    </row>
    <row r="177" spans="1:12">
      <c r="A177" s="45"/>
      <c r="B177" s="47" t="s">
        <v>535</v>
      </c>
      <c r="C177" s="34" t="s">
        <v>524</v>
      </c>
      <c r="D177" s="47"/>
      <c r="E177" s="34" t="s">
        <v>509</v>
      </c>
      <c r="F177" s="18"/>
      <c r="G177" s="18"/>
      <c r="H177" s="18"/>
      <c r="I177" s="48"/>
      <c r="J177" s="18"/>
      <c r="K177" s="18"/>
      <c r="L177" s="18"/>
    </row>
    <row r="178" spans="1:12">
      <c r="A178" s="45"/>
      <c r="B178" s="47"/>
      <c r="C178" s="34" t="s">
        <v>511</v>
      </c>
      <c r="D178" s="47"/>
      <c r="E178" s="34" t="s">
        <v>527</v>
      </c>
      <c r="F178" s="18"/>
      <c r="G178" s="18"/>
      <c r="H178" s="18"/>
      <c r="I178" s="48"/>
      <c r="J178" s="18"/>
      <c r="K178" s="18"/>
      <c r="L178" s="18"/>
    </row>
    <row r="179" spans="1:12">
      <c r="A179" s="45"/>
      <c r="B179" s="47"/>
      <c r="C179" s="34" t="s">
        <v>525</v>
      </c>
      <c r="D179" s="47"/>
      <c r="E179" s="34" t="s">
        <v>526</v>
      </c>
      <c r="F179" s="18"/>
      <c r="G179" s="18"/>
      <c r="H179" s="18"/>
      <c r="I179" s="48"/>
      <c r="J179" s="18"/>
      <c r="K179" s="18"/>
      <c r="L179" s="18"/>
    </row>
    <row r="180" spans="1:12">
      <c r="A180" s="45"/>
      <c r="B180" s="47" t="s">
        <v>535</v>
      </c>
      <c r="C180" s="34" t="s">
        <v>503</v>
      </c>
      <c r="D180" s="47" t="s">
        <v>535</v>
      </c>
      <c r="E180" s="34" t="s">
        <v>528</v>
      </c>
      <c r="F180" s="18"/>
      <c r="G180" s="18"/>
      <c r="H180" s="18"/>
      <c r="I180" s="48"/>
      <c r="J180" s="18"/>
      <c r="K180" s="18"/>
      <c r="L180" s="18"/>
    </row>
    <row r="181" spans="1:12">
      <c r="A181" s="45"/>
      <c r="B181" s="47"/>
      <c r="C181" s="34" t="s">
        <v>505</v>
      </c>
      <c r="D181" s="47" t="s">
        <v>535</v>
      </c>
      <c r="E181" s="34" t="s">
        <v>529</v>
      </c>
      <c r="F181" s="18"/>
      <c r="G181" s="18"/>
      <c r="H181" s="18"/>
      <c r="I181" s="48"/>
      <c r="J181" s="18"/>
      <c r="K181" s="18"/>
      <c r="L181" s="18"/>
    </row>
    <row r="182" spans="1:12">
      <c r="A182" s="45"/>
      <c r="B182" s="18"/>
      <c r="C182" s="18"/>
      <c r="D182" s="18"/>
      <c r="E182" s="18"/>
      <c r="F182" s="18"/>
      <c r="G182" s="18"/>
      <c r="H182" s="18"/>
      <c r="I182" s="48"/>
      <c r="J182" s="18"/>
      <c r="K182" s="18"/>
      <c r="L182" s="18"/>
    </row>
    <row r="183" spans="1:12">
      <c r="A183" s="45" t="s">
        <v>531</v>
      </c>
      <c r="B183" s="46" t="s">
        <v>541</v>
      </c>
      <c r="C183" s="18"/>
      <c r="D183" s="18"/>
      <c r="E183" s="18"/>
      <c r="F183" s="18"/>
      <c r="G183" s="18"/>
      <c r="H183" s="18"/>
      <c r="I183" s="48"/>
      <c r="J183" s="18"/>
      <c r="K183" s="18"/>
      <c r="L183" s="18"/>
    </row>
    <row r="184" spans="1:12">
      <c r="A184" s="51"/>
      <c r="B184" s="46" t="s">
        <v>102</v>
      </c>
      <c r="C184" s="18"/>
      <c r="D184" s="18"/>
      <c r="E184" s="18"/>
      <c r="F184" s="18"/>
      <c r="G184" s="18"/>
      <c r="H184" s="18"/>
      <c r="I184" s="48"/>
      <c r="J184" s="18"/>
      <c r="K184" s="18"/>
      <c r="L184" s="18"/>
    </row>
    <row r="185" spans="1:12">
      <c r="A185" s="51"/>
      <c r="B185" s="46"/>
      <c r="C185" s="18"/>
      <c r="D185" s="18"/>
      <c r="E185" s="18"/>
      <c r="F185" s="18"/>
      <c r="G185" s="18"/>
      <c r="H185" s="18"/>
      <c r="I185" s="48"/>
      <c r="J185" s="18"/>
      <c r="K185" s="18"/>
      <c r="L185" s="18"/>
    </row>
    <row r="186" spans="1:12">
      <c r="A186" s="51"/>
      <c r="B186" s="46"/>
      <c r="C186" s="18"/>
      <c r="D186" s="18"/>
      <c r="E186" s="18"/>
      <c r="F186" s="18"/>
      <c r="G186" s="18"/>
      <c r="H186" s="18"/>
      <c r="I186" s="48"/>
      <c r="J186" s="18"/>
      <c r="K186" s="18"/>
      <c r="L186" s="18"/>
    </row>
    <row r="187" spans="1:12">
      <c r="A187" s="51"/>
      <c r="B187" s="46"/>
      <c r="C187" s="18"/>
      <c r="D187" s="18"/>
      <c r="E187" s="18"/>
      <c r="F187" s="18"/>
      <c r="G187" s="18"/>
      <c r="H187" s="18"/>
      <c r="I187" s="48"/>
      <c r="J187" s="18"/>
      <c r="K187" s="18"/>
      <c r="L187" s="18"/>
    </row>
    <row r="188" spans="1:12">
      <c r="A188" s="51"/>
      <c r="B188" s="46"/>
      <c r="C188" s="18"/>
      <c r="D188" s="18"/>
      <c r="E188" s="18"/>
      <c r="F188" s="18"/>
      <c r="G188" s="18"/>
      <c r="H188" s="18"/>
      <c r="I188" s="48"/>
      <c r="J188" s="18"/>
      <c r="K188" s="18"/>
      <c r="L188" s="18"/>
    </row>
    <row r="189" spans="1:12">
      <c r="A189" s="51"/>
      <c r="B189" s="46"/>
      <c r="C189" s="18"/>
      <c r="D189" s="18"/>
      <c r="E189" s="18"/>
      <c r="F189" s="18"/>
      <c r="G189" s="18"/>
      <c r="H189" s="18"/>
      <c r="I189" s="48"/>
      <c r="J189" s="18"/>
      <c r="K189" s="18"/>
      <c r="L189" s="18"/>
    </row>
    <row r="190" spans="1:12">
      <c r="A190" s="51"/>
      <c r="B190" s="46"/>
      <c r="C190" s="18"/>
      <c r="D190" s="18"/>
      <c r="E190" s="18"/>
      <c r="F190" s="18"/>
      <c r="G190" s="18"/>
      <c r="H190" s="18"/>
      <c r="I190" s="48"/>
      <c r="J190" s="18"/>
      <c r="K190" s="18"/>
      <c r="L190" s="18"/>
    </row>
    <row r="191" spans="1:12">
      <c r="A191" s="51"/>
      <c r="B191" s="46"/>
      <c r="C191" s="18"/>
      <c r="D191" s="18"/>
      <c r="E191" s="18"/>
      <c r="F191" s="18"/>
      <c r="G191" s="18"/>
      <c r="H191" s="18"/>
      <c r="I191" s="48"/>
      <c r="J191" s="18"/>
      <c r="K191" s="18"/>
      <c r="L191" s="18"/>
    </row>
    <row r="192" spans="1:12">
      <c r="A192" s="51"/>
      <c r="B192" s="46"/>
      <c r="C192" s="18"/>
      <c r="D192" s="18"/>
      <c r="E192" s="18"/>
      <c r="F192" s="18"/>
      <c r="G192" s="18"/>
      <c r="H192" s="18"/>
      <c r="I192" s="48"/>
      <c r="J192" s="18"/>
      <c r="K192" s="18"/>
      <c r="L192" s="18"/>
    </row>
    <row r="193" spans="1:12">
      <c r="A193" s="51"/>
      <c r="B193" s="46"/>
      <c r="C193" s="18"/>
      <c r="D193" s="18"/>
      <c r="E193" s="18"/>
      <c r="F193" s="18"/>
      <c r="G193" s="18"/>
      <c r="H193" s="18"/>
      <c r="I193" s="48"/>
      <c r="J193" s="18"/>
      <c r="K193" s="18"/>
      <c r="L193" s="18"/>
    </row>
    <row r="194" spans="1:12" ht="15.75" thickBot="1">
      <c r="A194" s="52"/>
      <c r="B194" s="53"/>
      <c r="C194" s="54"/>
      <c r="D194" s="54"/>
      <c r="E194" s="54"/>
      <c r="F194" s="54"/>
      <c r="G194" s="54"/>
      <c r="H194" s="54"/>
      <c r="I194" s="55"/>
      <c r="J194" s="18"/>
      <c r="K194" s="18"/>
      <c r="L194" s="18"/>
    </row>
    <row r="195" spans="1:12" ht="15.75" thickBot="1">
      <c r="A195" s="18"/>
      <c r="B195" s="18"/>
      <c r="C195" s="18"/>
      <c r="D195" s="18"/>
      <c r="E195" s="18"/>
      <c r="F195" s="18"/>
      <c r="G195" s="18"/>
      <c r="H195" s="18"/>
      <c r="I195" s="18"/>
      <c r="J195" s="18"/>
      <c r="K195" s="18"/>
      <c r="L195" s="18"/>
    </row>
    <row r="196" spans="1:12">
      <c r="A196" s="41" t="s">
        <v>562</v>
      </c>
      <c r="B196" s="42"/>
      <c r="C196" s="43"/>
      <c r="D196" s="43"/>
      <c r="E196" s="43"/>
      <c r="F196" s="43"/>
      <c r="G196" s="43"/>
      <c r="H196" s="43"/>
      <c r="I196" s="44"/>
      <c r="J196" s="18"/>
      <c r="K196" s="18"/>
      <c r="L196" s="18"/>
    </row>
    <row r="197" spans="1:12">
      <c r="A197" s="45" t="s">
        <v>493</v>
      </c>
      <c r="B197" s="35"/>
      <c r="C197" s="18"/>
      <c r="D197" s="46"/>
      <c r="E197" s="34" t="s">
        <v>494</v>
      </c>
      <c r="F197" s="46"/>
      <c r="G197" s="34" t="s">
        <v>359</v>
      </c>
      <c r="H197" s="18"/>
      <c r="I197" s="48"/>
      <c r="J197" s="18"/>
      <c r="K197" s="18"/>
      <c r="L197" s="18"/>
    </row>
    <row r="198" spans="1:12">
      <c r="A198" s="45" t="s">
        <v>495</v>
      </c>
      <c r="B198" s="35"/>
      <c r="C198" s="37" t="s">
        <v>496</v>
      </c>
      <c r="D198" s="35"/>
      <c r="E198" s="18"/>
      <c r="F198" s="18"/>
      <c r="G198" s="18"/>
      <c r="H198" s="18"/>
      <c r="I198" s="48"/>
      <c r="J198" s="18"/>
      <c r="K198" s="18"/>
      <c r="L198" s="18"/>
    </row>
    <row r="199" spans="1:12">
      <c r="A199" s="45" t="s">
        <v>450</v>
      </c>
      <c r="B199" s="35"/>
      <c r="C199" s="37" t="s">
        <v>454</v>
      </c>
      <c r="D199" s="46"/>
      <c r="E199" s="18"/>
      <c r="F199" s="18"/>
      <c r="G199" s="18"/>
      <c r="H199" s="18"/>
      <c r="I199" s="48"/>
      <c r="J199" s="18"/>
      <c r="K199" s="18"/>
      <c r="L199" s="18"/>
    </row>
    <row r="200" spans="1:12">
      <c r="A200" s="45" t="s">
        <v>497</v>
      </c>
      <c r="B200" s="35"/>
      <c r="C200" s="37" t="s">
        <v>498</v>
      </c>
      <c r="D200" s="46"/>
      <c r="E200" s="18"/>
      <c r="F200" s="18"/>
      <c r="G200" s="18"/>
      <c r="H200" s="18"/>
      <c r="I200" s="48"/>
      <c r="J200" s="18"/>
      <c r="K200" s="18"/>
      <c r="L200" s="18"/>
    </row>
    <row r="201" spans="1:12">
      <c r="A201" s="45"/>
      <c r="B201" s="35"/>
      <c r="C201" s="34"/>
      <c r="D201" s="18"/>
      <c r="E201" s="18"/>
      <c r="F201" s="18"/>
      <c r="G201" s="18"/>
      <c r="H201" s="18"/>
      <c r="I201" s="48"/>
      <c r="J201" s="18"/>
      <c r="K201" s="18"/>
      <c r="L201" s="18"/>
    </row>
    <row r="202" spans="1:12">
      <c r="A202" s="45"/>
      <c r="B202" s="35"/>
      <c r="C202" s="34"/>
      <c r="D202" s="18"/>
      <c r="E202" s="18"/>
      <c r="F202" s="18"/>
      <c r="G202" s="18"/>
      <c r="H202" s="18"/>
      <c r="I202" s="48"/>
      <c r="J202" s="18"/>
      <c r="K202" s="18"/>
      <c r="L202" s="18"/>
    </row>
    <row r="203" spans="1:12">
      <c r="A203" s="45"/>
      <c r="B203" s="35"/>
      <c r="C203" s="34"/>
      <c r="D203" s="18"/>
      <c r="E203" s="18"/>
      <c r="F203" s="18"/>
      <c r="G203" s="18"/>
      <c r="H203" s="18"/>
      <c r="I203" s="48"/>
      <c r="J203" s="18"/>
      <c r="K203" s="18"/>
      <c r="L203" s="18"/>
    </row>
    <row r="204" spans="1:12">
      <c r="A204" s="45"/>
      <c r="B204" s="35"/>
      <c r="C204" s="34"/>
      <c r="D204" s="18"/>
      <c r="E204" s="18"/>
      <c r="F204" s="18"/>
      <c r="G204" s="18"/>
      <c r="H204" s="18"/>
      <c r="I204" s="48"/>
      <c r="J204" s="18"/>
      <c r="K204" s="18"/>
      <c r="L204" s="18"/>
    </row>
    <row r="205" spans="1:12">
      <c r="A205" s="45"/>
      <c r="B205" s="35"/>
      <c r="C205" s="34"/>
      <c r="D205" s="18"/>
      <c r="E205" s="18"/>
      <c r="F205" s="18"/>
      <c r="G205" s="18"/>
      <c r="H205" s="18"/>
      <c r="I205" s="48"/>
      <c r="J205" s="18"/>
      <c r="K205" s="18"/>
      <c r="L205" s="18"/>
    </row>
    <row r="206" spans="1:12" ht="30">
      <c r="A206" s="49" t="s">
        <v>500</v>
      </c>
      <c r="B206" s="529"/>
      <c r="C206" s="529"/>
      <c r="D206" s="529"/>
      <c r="E206" s="50" t="s">
        <v>499</v>
      </c>
      <c r="F206" s="529"/>
      <c r="G206" s="529"/>
      <c r="H206" s="529"/>
      <c r="I206" s="529"/>
      <c r="J206" s="18"/>
      <c r="K206" s="18"/>
      <c r="L206" s="18"/>
    </row>
    <row r="207" spans="1:12">
      <c r="A207" s="45" t="s">
        <v>501</v>
      </c>
      <c r="B207" s="47"/>
      <c r="C207" s="34" t="s">
        <v>502</v>
      </c>
      <c r="D207" s="47"/>
      <c r="E207" s="34" t="s">
        <v>503</v>
      </c>
      <c r="F207" s="34"/>
      <c r="G207" s="34"/>
      <c r="H207" s="18"/>
      <c r="I207" s="48"/>
      <c r="J207" s="18"/>
      <c r="K207" s="18"/>
      <c r="L207" s="18"/>
    </row>
    <row r="208" spans="1:12">
      <c r="A208" s="45"/>
      <c r="B208" s="47"/>
      <c r="C208" s="34" t="s">
        <v>504</v>
      </c>
      <c r="D208" s="47"/>
      <c r="E208" s="34" t="s">
        <v>505</v>
      </c>
      <c r="F208" s="34"/>
      <c r="G208" s="34"/>
      <c r="H208" s="18"/>
      <c r="I208" s="48"/>
      <c r="J208" s="18"/>
      <c r="K208" s="18"/>
      <c r="L208" s="18"/>
    </row>
    <row r="209" spans="1:12" ht="30">
      <c r="A209" s="45"/>
      <c r="B209" s="47"/>
      <c r="C209" s="34" t="s">
        <v>506</v>
      </c>
      <c r="D209" s="47"/>
      <c r="E209" s="34" t="s">
        <v>507</v>
      </c>
      <c r="F209" s="34"/>
      <c r="G209" s="34"/>
      <c r="H209" s="18"/>
      <c r="I209" s="48"/>
      <c r="J209" s="18"/>
      <c r="K209" s="18"/>
      <c r="L209" s="18"/>
    </row>
    <row r="210" spans="1:12" ht="30">
      <c r="A210" s="45"/>
      <c r="B210" s="47"/>
      <c r="C210" s="34" t="s">
        <v>508</v>
      </c>
      <c r="D210" s="47"/>
      <c r="E210" s="34" t="s">
        <v>509</v>
      </c>
      <c r="F210" s="34"/>
      <c r="G210" s="34"/>
      <c r="H210" s="18"/>
      <c r="I210" s="48"/>
      <c r="J210" s="18"/>
      <c r="K210" s="18"/>
      <c r="L210" s="18"/>
    </row>
    <row r="211" spans="1:12">
      <c r="A211" s="45"/>
      <c r="B211" s="47"/>
      <c r="C211" s="34" t="s">
        <v>511</v>
      </c>
      <c r="D211" s="47"/>
      <c r="E211" s="34" t="s">
        <v>510</v>
      </c>
      <c r="F211" s="34"/>
      <c r="G211" s="34"/>
      <c r="H211" s="18"/>
      <c r="I211" s="48"/>
      <c r="J211" s="18"/>
      <c r="K211" s="18"/>
      <c r="L211" s="18"/>
    </row>
    <row r="212" spans="1:12">
      <c r="A212" s="45"/>
      <c r="B212" s="47"/>
      <c r="C212" s="34" t="s">
        <v>513</v>
      </c>
      <c r="D212" s="47"/>
      <c r="E212" s="34" t="s">
        <v>512</v>
      </c>
      <c r="F212" s="34"/>
      <c r="G212" s="34"/>
      <c r="H212" s="18"/>
      <c r="I212" s="48"/>
      <c r="J212" s="18"/>
      <c r="K212" s="18"/>
      <c r="L212" s="18"/>
    </row>
    <row r="213" spans="1:12">
      <c r="A213" s="45"/>
      <c r="B213" s="47"/>
      <c r="C213" s="34" t="s">
        <v>515</v>
      </c>
      <c r="D213" s="47"/>
      <c r="E213" s="34" t="s">
        <v>514</v>
      </c>
      <c r="F213" s="34"/>
      <c r="G213" s="34"/>
      <c r="H213" s="18"/>
      <c r="I213" s="48"/>
      <c r="J213" s="18"/>
      <c r="K213" s="18"/>
      <c r="L213" s="18"/>
    </row>
    <row r="214" spans="1:12" ht="30">
      <c r="A214" s="45"/>
      <c r="B214" s="47"/>
      <c r="C214" s="34" t="s">
        <v>517</v>
      </c>
      <c r="D214" s="47"/>
      <c r="E214" s="34" t="s">
        <v>516</v>
      </c>
      <c r="F214" s="34"/>
      <c r="G214" s="34"/>
      <c r="H214" s="18"/>
      <c r="I214" s="48"/>
      <c r="J214" s="18"/>
      <c r="K214" s="18"/>
      <c r="L214" s="18"/>
    </row>
    <row r="215" spans="1:12" ht="30">
      <c r="A215" s="45"/>
      <c r="B215" s="47"/>
      <c r="C215" s="34" t="s">
        <v>519</v>
      </c>
      <c r="D215" s="47"/>
      <c r="E215" s="34" t="s">
        <v>518</v>
      </c>
      <c r="F215" s="34"/>
      <c r="G215" s="34"/>
      <c r="H215" s="18"/>
      <c r="I215" s="48"/>
      <c r="J215" s="18"/>
      <c r="K215" s="18"/>
      <c r="L215" s="18"/>
    </row>
    <row r="216" spans="1:12">
      <c r="A216" s="45"/>
      <c r="B216" s="47"/>
      <c r="C216" s="34" t="s">
        <v>521</v>
      </c>
      <c r="D216" s="47"/>
      <c r="E216" s="34" t="s">
        <v>520</v>
      </c>
      <c r="F216" s="34"/>
      <c r="G216" s="34"/>
      <c r="H216" s="18"/>
      <c r="I216" s="48"/>
      <c r="J216" s="18"/>
      <c r="K216" s="18"/>
      <c r="L216" s="18"/>
    </row>
    <row r="217" spans="1:12">
      <c r="A217" s="45"/>
      <c r="B217" s="47"/>
      <c r="C217" s="34"/>
      <c r="D217" s="47"/>
      <c r="E217" s="34"/>
      <c r="F217" s="34"/>
      <c r="G217" s="34"/>
      <c r="H217" s="18"/>
      <c r="I217" s="48"/>
      <c r="J217" s="18"/>
      <c r="K217" s="18"/>
      <c r="L217" s="18"/>
    </row>
    <row r="218" spans="1:12">
      <c r="A218" s="45"/>
      <c r="B218" s="18"/>
      <c r="C218" s="34"/>
      <c r="D218" s="18"/>
      <c r="E218" s="34"/>
      <c r="F218" s="18"/>
      <c r="G218" s="34"/>
      <c r="H218" s="18"/>
      <c r="I218" s="48"/>
      <c r="J218" s="18"/>
      <c r="K218" s="18"/>
      <c r="L218" s="18"/>
    </row>
    <row r="219" spans="1:12">
      <c r="A219" s="45" t="s">
        <v>522</v>
      </c>
      <c r="B219" s="47"/>
      <c r="C219" s="34" t="s">
        <v>523</v>
      </c>
      <c r="D219" s="47"/>
      <c r="E219" s="34" t="s">
        <v>503</v>
      </c>
      <c r="F219" s="18"/>
      <c r="G219" s="34"/>
      <c r="H219" s="18"/>
      <c r="I219" s="48"/>
      <c r="J219" s="18"/>
      <c r="K219" s="18"/>
      <c r="L219" s="18"/>
    </row>
    <row r="220" spans="1:12">
      <c r="A220" s="45"/>
      <c r="B220" s="47"/>
      <c r="C220" s="34" t="s">
        <v>524</v>
      </c>
      <c r="D220" s="47"/>
      <c r="E220" s="34" t="s">
        <v>507</v>
      </c>
      <c r="F220" s="18"/>
      <c r="G220" s="34"/>
      <c r="H220" s="18"/>
      <c r="I220" s="48"/>
      <c r="J220" s="18"/>
      <c r="K220" s="18"/>
      <c r="L220" s="18"/>
    </row>
    <row r="221" spans="1:12">
      <c r="A221" s="45"/>
      <c r="B221" s="47"/>
      <c r="C221" s="34" t="s">
        <v>511</v>
      </c>
      <c r="D221" s="47"/>
      <c r="E221" s="34" t="s">
        <v>509</v>
      </c>
      <c r="F221" s="18"/>
      <c r="G221" s="34"/>
      <c r="H221" s="18"/>
      <c r="I221" s="48"/>
      <c r="J221" s="18"/>
      <c r="K221" s="18"/>
      <c r="L221" s="18"/>
    </row>
    <row r="222" spans="1:12">
      <c r="A222" s="45"/>
      <c r="B222" s="47"/>
      <c r="C222" s="34" t="s">
        <v>525</v>
      </c>
      <c r="D222" s="47"/>
      <c r="E222" s="34" t="s">
        <v>527</v>
      </c>
      <c r="F222" s="18"/>
      <c r="G222" s="34"/>
      <c r="H222" s="18"/>
      <c r="I222" s="48"/>
      <c r="J222" s="18"/>
      <c r="K222" s="18"/>
      <c r="L222" s="18"/>
    </row>
    <row r="223" spans="1:12">
      <c r="A223" s="45"/>
      <c r="B223" s="47"/>
      <c r="C223" s="34" t="s">
        <v>526</v>
      </c>
      <c r="D223" s="47"/>
      <c r="E223" s="34" t="s">
        <v>529</v>
      </c>
      <c r="F223" s="18"/>
      <c r="G223" s="34"/>
      <c r="H223" s="18"/>
      <c r="I223" s="48"/>
      <c r="J223" s="18"/>
      <c r="K223" s="18"/>
      <c r="L223" s="18"/>
    </row>
    <row r="224" spans="1:12">
      <c r="A224" s="45"/>
      <c r="B224" s="47"/>
      <c r="C224" s="34" t="s">
        <v>528</v>
      </c>
      <c r="D224" s="47"/>
      <c r="E224" s="34" t="s">
        <v>530</v>
      </c>
      <c r="F224" s="18"/>
      <c r="G224" s="34"/>
      <c r="H224" s="18"/>
      <c r="I224" s="48"/>
      <c r="J224" s="18"/>
      <c r="K224" s="18"/>
      <c r="L224" s="18"/>
    </row>
    <row r="225" spans="1:12">
      <c r="A225" s="45"/>
      <c r="B225" s="18"/>
      <c r="C225" s="18"/>
      <c r="D225" s="18"/>
      <c r="E225" s="18"/>
      <c r="F225" s="18"/>
      <c r="G225" s="18"/>
      <c r="H225" s="18"/>
      <c r="I225" s="48"/>
      <c r="J225" s="18"/>
      <c r="K225" s="18"/>
      <c r="L225" s="18"/>
    </row>
    <row r="226" spans="1:12" ht="30">
      <c r="A226" s="45" t="s">
        <v>531</v>
      </c>
      <c r="B226" s="46"/>
      <c r="C226" s="18"/>
      <c r="D226" s="47"/>
      <c r="E226" s="34" t="s">
        <v>532</v>
      </c>
      <c r="F226" s="18"/>
      <c r="G226" s="18"/>
      <c r="H226" s="18"/>
      <c r="I226" s="48"/>
      <c r="J226" s="18"/>
      <c r="K226" s="18"/>
      <c r="L226" s="18"/>
    </row>
    <row r="227" spans="1:12">
      <c r="A227" s="51"/>
      <c r="B227" s="46"/>
      <c r="C227" s="18"/>
      <c r="D227" s="18"/>
      <c r="E227" s="18"/>
      <c r="F227" s="18"/>
      <c r="G227" s="18"/>
      <c r="H227" s="18"/>
      <c r="I227" s="48"/>
      <c r="J227" s="18"/>
      <c r="K227" s="18"/>
      <c r="L227" s="18"/>
    </row>
    <row r="228" spans="1:12">
      <c r="A228" s="51"/>
      <c r="B228" s="46"/>
      <c r="C228" s="18"/>
      <c r="D228" s="18"/>
      <c r="E228" s="18"/>
      <c r="F228" s="18"/>
      <c r="G228" s="18"/>
      <c r="H228" s="18"/>
      <c r="I228" s="48"/>
      <c r="J228" s="18"/>
      <c r="K228" s="18"/>
      <c r="L228" s="18"/>
    </row>
    <row r="229" spans="1:12">
      <c r="A229" s="51"/>
      <c r="B229" s="46"/>
      <c r="C229" s="18"/>
      <c r="D229" s="18"/>
      <c r="E229" s="18"/>
      <c r="F229" s="18"/>
      <c r="G229" s="18"/>
      <c r="H229" s="18"/>
      <c r="I229" s="48"/>
      <c r="J229" s="18"/>
      <c r="K229" s="18"/>
      <c r="L229" s="18"/>
    </row>
    <row r="230" spans="1:12">
      <c r="A230" s="51"/>
      <c r="B230" s="46"/>
      <c r="C230" s="18"/>
      <c r="D230" s="18"/>
      <c r="E230" s="18"/>
      <c r="F230" s="18"/>
      <c r="G230" s="18"/>
      <c r="H230" s="18"/>
      <c r="I230" s="48"/>
      <c r="J230" s="18"/>
      <c r="K230" s="18"/>
      <c r="L230" s="18"/>
    </row>
    <row r="231" spans="1:12">
      <c r="A231" s="51"/>
      <c r="B231" s="46"/>
      <c r="C231" s="18"/>
      <c r="D231" s="18"/>
      <c r="E231" s="18"/>
      <c r="F231" s="18"/>
      <c r="G231" s="18"/>
      <c r="H231" s="18"/>
      <c r="I231" s="48"/>
      <c r="J231" s="18"/>
      <c r="K231" s="18"/>
      <c r="L231" s="18"/>
    </row>
    <row r="232" spans="1:12">
      <c r="A232" s="51"/>
      <c r="B232" s="46"/>
      <c r="C232" s="18"/>
      <c r="D232" s="18"/>
      <c r="E232" s="18"/>
      <c r="F232" s="18"/>
      <c r="G232" s="18"/>
      <c r="H232" s="18"/>
      <c r="I232" s="48"/>
      <c r="J232" s="18"/>
      <c r="K232" s="18"/>
      <c r="L232" s="18"/>
    </row>
    <row r="233" spans="1:12">
      <c r="A233" s="51"/>
      <c r="B233" s="46"/>
      <c r="C233" s="18"/>
      <c r="D233" s="18"/>
      <c r="E233" s="18"/>
      <c r="F233" s="18"/>
      <c r="G233" s="18"/>
      <c r="H233" s="18"/>
      <c r="I233" s="48"/>
      <c r="J233" s="18"/>
      <c r="K233" s="18"/>
      <c r="L233" s="18"/>
    </row>
    <row r="234" spans="1:12" ht="15.75" thickBot="1">
      <c r="A234" s="52"/>
      <c r="B234" s="53"/>
      <c r="C234" s="54"/>
      <c r="D234" s="54"/>
      <c r="E234" s="54"/>
      <c r="F234" s="54"/>
      <c r="G234" s="54"/>
      <c r="H234" s="54"/>
      <c r="I234" s="55"/>
      <c r="J234" s="18"/>
      <c r="K234" s="18"/>
      <c r="L234" s="18"/>
    </row>
  </sheetData>
  <mergeCells count="36">
    <mergeCell ref="B98:D98"/>
    <mergeCell ref="B2:D2"/>
    <mergeCell ref="B19:D19"/>
    <mergeCell ref="F19:I19"/>
    <mergeCell ref="B59:D59"/>
    <mergeCell ref="F59:I59"/>
    <mergeCell ref="J141:K141"/>
    <mergeCell ref="A118:A123"/>
    <mergeCell ref="B118:D118"/>
    <mergeCell ref="B119:D119"/>
    <mergeCell ref="B122:D122"/>
    <mergeCell ref="B123:D123"/>
    <mergeCell ref="E118:E123"/>
    <mergeCell ref="B120:D120"/>
    <mergeCell ref="B121:D121"/>
    <mergeCell ref="A163:A164"/>
    <mergeCell ref="B163:D163"/>
    <mergeCell ref="B164:D164"/>
    <mergeCell ref="E163:E164"/>
    <mergeCell ref="F163:F164"/>
    <mergeCell ref="B1:D1"/>
    <mergeCell ref="J163:J164"/>
    <mergeCell ref="K163:K164"/>
    <mergeCell ref="L163:L164"/>
    <mergeCell ref="B206:D206"/>
    <mergeCell ref="F206:I206"/>
    <mergeCell ref="J142:K147"/>
    <mergeCell ref="B146:D146"/>
    <mergeCell ref="G163:G164"/>
    <mergeCell ref="H163:H164"/>
    <mergeCell ref="I163:I164"/>
    <mergeCell ref="F118:I123"/>
    <mergeCell ref="J118:J123"/>
    <mergeCell ref="K118:K123"/>
    <mergeCell ref="L118:L123"/>
    <mergeCell ref="G124:I12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41523-23C2-4FCF-9818-6E96516CB03F}">
  <dimension ref="A1:Q73"/>
  <sheetViews>
    <sheetView topLeftCell="C1" zoomScale="90" zoomScaleNormal="90" workbookViewId="0">
      <selection activeCell="K2" sqref="K2"/>
    </sheetView>
  </sheetViews>
  <sheetFormatPr baseColWidth="10" defaultRowHeight="15"/>
  <cols>
    <col min="1" max="1" width="13.5703125" bestFit="1" customWidth="1"/>
    <col min="2" max="2" width="31.85546875" customWidth="1"/>
    <col min="3" max="3" width="6.140625" customWidth="1"/>
    <col min="4" max="4" width="11.42578125" style="118"/>
    <col min="5" max="5" width="7.5703125" bestFit="1" customWidth="1"/>
    <col min="6" max="6" width="5.5703125" customWidth="1"/>
    <col min="7" max="7" width="6.42578125" customWidth="1"/>
    <col min="8" max="8" width="15.42578125" customWidth="1"/>
    <col min="11" max="11" width="24" customWidth="1"/>
  </cols>
  <sheetData>
    <row r="1" spans="1:17" ht="16.5" thickBot="1">
      <c r="A1" s="253" t="s">
        <v>740</v>
      </c>
      <c r="G1" s="253" t="s">
        <v>741</v>
      </c>
      <c r="J1" s="16"/>
      <c r="K1" s="16"/>
      <c r="L1" s="283" t="s">
        <v>766</v>
      </c>
      <c r="M1" s="284" t="s">
        <v>685</v>
      </c>
      <c r="N1" s="285"/>
      <c r="O1" s="283" t="s">
        <v>694</v>
      </c>
      <c r="P1" s="286" t="s">
        <v>767</v>
      </c>
      <c r="Q1" s="285"/>
    </row>
    <row r="2" spans="1:17">
      <c r="A2" s="16" t="s">
        <v>694</v>
      </c>
      <c r="B2" s="16" t="s">
        <v>742</v>
      </c>
      <c r="C2" s="528" t="s">
        <v>743</v>
      </c>
      <c r="D2" s="528"/>
      <c r="E2" s="528"/>
      <c r="F2" s="16"/>
      <c r="G2" t="s">
        <v>21</v>
      </c>
      <c r="H2" t="s">
        <v>744</v>
      </c>
      <c r="J2" s="541" t="s">
        <v>768</v>
      </c>
      <c r="K2" s="287" t="s">
        <v>769</v>
      </c>
      <c r="L2" s="288" t="s">
        <v>770</v>
      </c>
      <c r="M2" s="289">
        <v>5</v>
      </c>
      <c r="N2" s="290" t="s">
        <v>21</v>
      </c>
      <c r="O2" s="291" t="s">
        <v>430</v>
      </c>
      <c r="P2" s="292">
        <v>0</v>
      </c>
      <c r="Q2" s="290" t="s">
        <v>21</v>
      </c>
    </row>
    <row r="3" spans="1:17">
      <c r="A3" t="s">
        <v>429</v>
      </c>
      <c r="B3" t="s">
        <v>745</v>
      </c>
      <c r="C3">
        <v>1</v>
      </c>
      <c r="D3" s="278">
        <v>0.16</v>
      </c>
      <c r="E3" t="s">
        <v>746</v>
      </c>
      <c r="G3" t="s">
        <v>747</v>
      </c>
      <c r="H3" t="s">
        <v>748</v>
      </c>
      <c r="J3" s="542"/>
      <c r="K3" s="293" t="s">
        <v>771</v>
      </c>
      <c r="L3" s="294" t="s">
        <v>770</v>
      </c>
      <c r="M3" s="295">
        <v>5</v>
      </c>
      <c r="N3" s="296" t="s">
        <v>21</v>
      </c>
      <c r="O3" s="119" t="s">
        <v>438</v>
      </c>
      <c r="P3" s="17">
        <v>15</v>
      </c>
      <c r="Q3" s="296" t="s">
        <v>21</v>
      </c>
    </row>
    <row r="4" spans="1:17">
      <c r="A4" t="s">
        <v>20</v>
      </c>
      <c r="B4" t="s">
        <v>749</v>
      </c>
      <c r="C4">
        <v>1</v>
      </c>
      <c r="D4" s="278">
        <v>0.16</v>
      </c>
      <c r="E4" t="s">
        <v>746</v>
      </c>
      <c r="J4" s="542"/>
      <c r="K4" s="293" t="s">
        <v>772</v>
      </c>
      <c r="L4" s="294" t="s">
        <v>770</v>
      </c>
      <c r="M4" s="295">
        <v>0</v>
      </c>
      <c r="N4" s="296" t="s">
        <v>21</v>
      </c>
      <c r="O4" s="119" t="s">
        <v>438</v>
      </c>
      <c r="P4" s="17">
        <v>15</v>
      </c>
      <c r="Q4" s="296" t="s">
        <v>21</v>
      </c>
    </row>
    <row r="5" spans="1:17">
      <c r="A5" t="s">
        <v>430</v>
      </c>
      <c r="B5" t="s">
        <v>750</v>
      </c>
      <c r="C5">
        <v>1</v>
      </c>
      <c r="D5" s="278">
        <v>0.16</v>
      </c>
      <c r="E5" t="s">
        <v>746</v>
      </c>
      <c r="J5" s="542"/>
      <c r="K5" s="297" t="s">
        <v>773</v>
      </c>
      <c r="L5" s="294" t="s">
        <v>770</v>
      </c>
      <c r="M5" s="295">
        <v>5</v>
      </c>
      <c r="N5" s="296" t="s">
        <v>21</v>
      </c>
      <c r="O5" s="119" t="s">
        <v>438</v>
      </c>
      <c r="P5" s="17"/>
      <c r="Q5" s="296" t="s">
        <v>21</v>
      </c>
    </row>
    <row r="6" spans="1:17">
      <c r="A6" t="s">
        <v>431</v>
      </c>
      <c r="B6" t="s">
        <v>751</v>
      </c>
      <c r="C6">
        <v>1</v>
      </c>
      <c r="D6" s="278">
        <v>0.16</v>
      </c>
      <c r="E6" t="s">
        <v>746</v>
      </c>
      <c r="J6" s="542"/>
      <c r="K6" s="297" t="s">
        <v>774</v>
      </c>
      <c r="L6" s="294" t="s">
        <v>775</v>
      </c>
      <c r="M6" s="298">
        <v>470</v>
      </c>
      <c r="N6" s="296" t="s">
        <v>747</v>
      </c>
      <c r="O6" s="119" t="s">
        <v>430</v>
      </c>
      <c r="P6" s="299">
        <v>65</v>
      </c>
      <c r="Q6" s="296" t="s">
        <v>21</v>
      </c>
    </row>
    <row r="7" spans="1:17">
      <c r="A7" t="s">
        <v>432</v>
      </c>
      <c r="B7" t="s">
        <v>752</v>
      </c>
      <c r="C7">
        <v>1</v>
      </c>
      <c r="D7" s="278">
        <v>0.16</v>
      </c>
      <c r="E7" t="s">
        <v>746</v>
      </c>
      <c r="J7" s="542"/>
      <c r="K7" s="297" t="s">
        <v>776</v>
      </c>
      <c r="L7" s="294" t="s">
        <v>775</v>
      </c>
      <c r="M7" s="298">
        <v>235</v>
      </c>
      <c r="N7" s="296" t="s">
        <v>747</v>
      </c>
      <c r="O7" s="119" t="s">
        <v>430</v>
      </c>
      <c r="P7" s="299">
        <f>+P6/2</f>
        <v>32.5</v>
      </c>
      <c r="Q7" s="296" t="s">
        <v>21</v>
      </c>
    </row>
    <row r="8" spans="1:17">
      <c r="A8" t="s">
        <v>433</v>
      </c>
      <c r="B8" t="s">
        <v>753</v>
      </c>
      <c r="C8">
        <v>1</v>
      </c>
      <c r="D8" s="278">
        <v>0.16</v>
      </c>
      <c r="E8" t="s">
        <v>746</v>
      </c>
      <c r="J8" s="542"/>
      <c r="K8" s="297" t="s">
        <v>777</v>
      </c>
      <c r="L8" s="294" t="s">
        <v>775</v>
      </c>
      <c r="M8" s="298">
        <v>497</v>
      </c>
      <c r="N8" s="296" t="s">
        <v>747</v>
      </c>
      <c r="O8" s="119" t="s">
        <v>430</v>
      </c>
      <c r="P8" s="299"/>
      <c r="Q8" s="296" t="s">
        <v>21</v>
      </c>
    </row>
    <row r="9" spans="1:17">
      <c r="A9" t="s">
        <v>434</v>
      </c>
      <c r="B9" t="s">
        <v>754</v>
      </c>
      <c r="C9">
        <v>1</v>
      </c>
      <c r="D9" s="278">
        <v>0.16</v>
      </c>
      <c r="E9" t="s">
        <v>746</v>
      </c>
      <c r="J9" s="542"/>
      <c r="K9" s="297" t="s">
        <v>778</v>
      </c>
      <c r="L9" s="294" t="s">
        <v>775</v>
      </c>
      <c r="M9" s="298">
        <v>248.5</v>
      </c>
      <c r="N9" s="296" t="s">
        <v>747</v>
      </c>
      <c r="O9" s="119" t="s">
        <v>430</v>
      </c>
      <c r="P9" s="299"/>
      <c r="Q9" s="296" t="s">
        <v>21</v>
      </c>
    </row>
    <row r="10" spans="1:17">
      <c r="A10" t="s">
        <v>435</v>
      </c>
      <c r="B10" t="s">
        <v>755</v>
      </c>
      <c r="C10">
        <v>1</v>
      </c>
      <c r="D10" s="278">
        <v>0.16</v>
      </c>
      <c r="E10" t="s">
        <v>746</v>
      </c>
      <c r="J10" s="542"/>
      <c r="K10" s="297" t="s">
        <v>779</v>
      </c>
      <c r="L10" s="294" t="s">
        <v>775</v>
      </c>
      <c r="M10" s="300">
        <v>1290</v>
      </c>
      <c r="N10" s="296" t="s">
        <v>747</v>
      </c>
      <c r="O10" s="119" t="s">
        <v>430</v>
      </c>
      <c r="P10" s="301"/>
      <c r="Q10" s="296" t="s">
        <v>21</v>
      </c>
    </row>
    <row r="11" spans="1:17">
      <c r="A11" t="s">
        <v>436</v>
      </c>
      <c r="B11" t="s">
        <v>756</v>
      </c>
      <c r="C11">
        <v>1</v>
      </c>
      <c r="D11" s="278">
        <v>0.16</v>
      </c>
      <c r="E11" t="s">
        <v>746</v>
      </c>
      <c r="J11" s="542"/>
      <c r="K11" s="297" t="s">
        <v>780</v>
      </c>
      <c r="L11" s="294" t="s">
        <v>775</v>
      </c>
      <c r="M11" s="298">
        <v>645</v>
      </c>
      <c r="N11" s="296" t="s">
        <v>747</v>
      </c>
      <c r="O11" s="119" t="s">
        <v>430</v>
      </c>
      <c r="P11" s="299"/>
      <c r="Q11" s="296" t="s">
        <v>21</v>
      </c>
    </row>
    <row r="12" spans="1:17">
      <c r="A12" t="s">
        <v>437</v>
      </c>
      <c r="B12" t="s">
        <v>757</v>
      </c>
      <c r="C12">
        <v>1</v>
      </c>
      <c r="D12" s="278">
        <v>0.16</v>
      </c>
      <c r="E12" t="s">
        <v>746</v>
      </c>
      <c r="J12" s="542"/>
      <c r="K12" s="297" t="s">
        <v>781</v>
      </c>
      <c r="L12" s="294" t="s">
        <v>775</v>
      </c>
      <c r="M12" s="298">
        <v>470</v>
      </c>
      <c r="N12" s="296" t="s">
        <v>747</v>
      </c>
      <c r="O12" s="119" t="s">
        <v>430</v>
      </c>
      <c r="P12" s="299"/>
      <c r="Q12" s="296" t="s">
        <v>21</v>
      </c>
    </row>
    <row r="13" spans="1:17">
      <c r="A13" t="s">
        <v>438</v>
      </c>
      <c r="B13" t="s">
        <v>758</v>
      </c>
      <c r="C13">
        <v>1</v>
      </c>
      <c r="D13" s="278">
        <v>0.16</v>
      </c>
      <c r="E13" t="s">
        <v>746</v>
      </c>
      <c r="J13" s="542"/>
      <c r="K13" s="297" t="s">
        <v>782</v>
      </c>
      <c r="L13" s="294" t="s">
        <v>775</v>
      </c>
      <c r="M13" s="298">
        <v>235</v>
      </c>
      <c r="N13" s="296" t="s">
        <v>747</v>
      </c>
      <c r="O13" s="119" t="s">
        <v>430</v>
      </c>
      <c r="P13" s="299"/>
      <c r="Q13" s="296" t="s">
        <v>21</v>
      </c>
    </row>
    <row r="14" spans="1:17">
      <c r="A14" t="s">
        <v>439</v>
      </c>
      <c r="B14" t="s">
        <v>759</v>
      </c>
      <c r="C14">
        <v>1</v>
      </c>
      <c r="D14" s="278">
        <v>0.16</v>
      </c>
      <c r="E14" t="s">
        <v>746</v>
      </c>
      <c r="J14" s="542"/>
      <c r="K14" s="297" t="s">
        <v>783</v>
      </c>
      <c r="L14" s="294" t="s">
        <v>775</v>
      </c>
      <c r="M14" s="298">
        <v>499.5</v>
      </c>
      <c r="N14" s="296" t="s">
        <v>747</v>
      </c>
      <c r="O14" s="119" t="s">
        <v>430</v>
      </c>
      <c r="P14" s="299"/>
      <c r="Q14" s="296" t="s">
        <v>21</v>
      </c>
    </row>
    <row r="15" spans="1:17">
      <c r="A15" t="s">
        <v>440</v>
      </c>
      <c r="B15" t="s">
        <v>760</v>
      </c>
      <c r="C15">
        <v>1</v>
      </c>
      <c r="D15" s="278">
        <v>0.16</v>
      </c>
      <c r="E15" t="s">
        <v>746</v>
      </c>
      <c r="J15" s="542"/>
      <c r="K15" s="297" t="s">
        <v>784</v>
      </c>
      <c r="L15" s="294" t="s">
        <v>775</v>
      </c>
      <c r="M15" s="298">
        <v>249.75</v>
      </c>
      <c r="N15" s="296" t="s">
        <v>747</v>
      </c>
      <c r="O15" s="119" t="s">
        <v>430</v>
      </c>
      <c r="P15" s="299"/>
      <c r="Q15" s="296" t="s">
        <v>21</v>
      </c>
    </row>
    <row r="16" spans="1:17">
      <c r="A16" t="s">
        <v>441</v>
      </c>
      <c r="B16" t="s">
        <v>761</v>
      </c>
      <c r="C16">
        <v>1</v>
      </c>
      <c r="D16" s="278">
        <v>0.16</v>
      </c>
      <c r="E16" t="s">
        <v>746</v>
      </c>
      <c r="J16" s="542"/>
      <c r="K16" s="297" t="s">
        <v>785</v>
      </c>
      <c r="L16" s="294" t="s">
        <v>775</v>
      </c>
      <c r="M16" s="298">
        <v>440</v>
      </c>
      <c r="N16" s="296" t="s">
        <v>747</v>
      </c>
      <c r="O16" s="119" t="s">
        <v>430</v>
      </c>
      <c r="P16" s="299"/>
      <c r="Q16" s="296" t="s">
        <v>21</v>
      </c>
    </row>
    <row r="17" spans="1:17">
      <c r="A17" t="s">
        <v>442</v>
      </c>
      <c r="B17" t="s">
        <v>762</v>
      </c>
      <c r="C17">
        <v>1</v>
      </c>
      <c r="D17" s="278">
        <v>0.16</v>
      </c>
      <c r="E17" t="s">
        <v>746</v>
      </c>
      <c r="J17" s="542"/>
      <c r="K17" s="297" t="s">
        <v>786</v>
      </c>
      <c r="L17" s="294" t="s">
        <v>775</v>
      </c>
      <c r="M17" s="298">
        <v>220</v>
      </c>
      <c r="N17" s="296" t="s">
        <v>747</v>
      </c>
      <c r="O17" s="119" t="s">
        <v>430</v>
      </c>
      <c r="P17" s="299"/>
      <c r="Q17" s="296" t="s">
        <v>21</v>
      </c>
    </row>
    <row r="18" spans="1:17">
      <c r="A18" t="s">
        <v>443</v>
      </c>
      <c r="B18" t="s">
        <v>763</v>
      </c>
      <c r="C18">
        <v>1</v>
      </c>
      <c r="D18" s="278">
        <v>0.16</v>
      </c>
      <c r="E18" t="s">
        <v>746</v>
      </c>
      <c r="J18" s="542"/>
      <c r="K18" s="297" t="s">
        <v>787</v>
      </c>
      <c r="L18" s="294" t="s">
        <v>775</v>
      </c>
      <c r="M18" s="295">
        <v>28</v>
      </c>
      <c r="N18" s="296" t="s">
        <v>747</v>
      </c>
      <c r="O18" s="119"/>
      <c r="P18" s="17"/>
      <c r="Q18" s="296" t="s">
        <v>21</v>
      </c>
    </row>
    <row r="19" spans="1:17">
      <c r="A19" t="s">
        <v>444</v>
      </c>
      <c r="B19" t="s">
        <v>764</v>
      </c>
      <c r="C19">
        <v>1</v>
      </c>
      <c r="D19" s="278">
        <v>0.16</v>
      </c>
      <c r="E19" t="s">
        <v>746</v>
      </c>
      <c r="J19" s="542"/>
      <c r="K19" s="297" t="s">
        <v>788</v>
      </c>
      <c r="L19" s="294" t="s">
        <v>775</v>
      </c>
      <c r="M19" s="295">
        <v>85</v>
      </c>
      <c r="N19" s="296" t="s">
        <v>747</v>
      </c>
      <c r="O19" s="119"/>
      <c r="P19" s="17"/>
      <c r="Q19" s="296" t="s">
        <v>21</v>
      </c>
    </row>
    <row r="20" spans="1:17">
      <c r="A20" s="279" t="s">
        <v>445</v>
      </c>
      <c r="B20" s="279" t="s">
        <v>765</v>
      </c>
      <c r="C20" s="279">
        <v>1</v>
      </c>
      <c r="D20" s="280">
        <v>0.16</v>
      </c>
      <c r="E20" s="279" t="s">
        <v>746</v>
      </c>
      <c r="F20" s="279"/>
      <c r="G20" s="279"/>
      <c r="H20" s="279"/>
      <c r="J20" s="542"/>
      <c r="K20" s="297" t="s">
        <v>789</v>
      </c>
      <c r="L20" s="294" t="s">
        <v>775</v>
      </c>
      <c r="M20" s="295">
        <v>195</v>
      </c>
      <c r="N20" s="296" t="s">
        <v>747</v>
      </c>
      <c r="O20" s="119"/>
      <c r="P20" s="17"/>
      <c r="Q20" s="296" t="s">
        <v>21</v>
      </c>
    </row>
    <row r="21" spans="1:17">
      <c r="A21" s="279" t="s">
        <v>446</v>
      </c>
      <c r="B21" s="279" t="s">
        <v>737</v>
      </c>
      <c r="C21" s="279">
        <v>1</v>
      </c>
      <c r="D21" s="280">
        <v>0.16</v>
      </c>
      <c r="E21" s="279" t="s">
        <v>746</v>
      </c>
      <c r="J21" s="542"/>
      <c r="K21" s="297" t="s">
        <v>790</v>
      </c>
      <c r="L21" s="294" t="s">
        <v>775</v>
      </c>
      <c r="M21" s="295">
        <v>90</v>
      </c>
      <c r="N21" s="296" t="s">
        <v>747</v>
      </c>
      <c r="O21" s="119"/>
      <c r="P21" s="17"/>
      <c r="Q21" s="296" t="s">
        <v>21</v>
      </c>
    </row>
    <row r="22" spans="1:17">
      <c r="J22" s="542"/>
      <c r="K22" s="297" t="s">
        <v>791</v>
      </c>
      <c r="L22" s="294" t="s">
        <v>775</v>
      </c>
      <c r="M22" s="295">
        <v>115</v>
      </c>
      <c r="N22" s="296" t="s">
        <v>747</v>
      </c>
      <c r="O22" s="119"/>
      <c r="P22" s="17"/>
      <c r="Q22" s="296" t="s">
        <v>21</v>
      </c>
    </row>
    <row r="23" spans="1:17">
      <c r="J23" s="542"/>
      <c r="K23" s="297" t="s">
        <v>792</v>
      </c>
      <c r="L23" s="294" t="s">
        <v>775</v>
      </c>
      <c r="M23" s="295">
        <v>395</v>
      </c>
      <c r="N23" s="296" t="s">
        <v>747</v>
      </c>
      <c r="O23" s="119"/>
      <c r="P23" s="17"/>
      <c r="Q23" s="296" t="s">
        <v>21</v>
      </c>
    </row>
    <row r="24" spans="1:17">
      <c r="J24" s="542"/>
      <c r="K24" s="297" t="s">
        <v>793</v>
      </c>
      <c r="L24" s="294" t="s">
        <v>775</v>
      </c>
      <c r="M24" s="295">
        <v>40</v>
      </c>
      <c r="N24" s="296" t="s">
        <v>747</v>
      </c>
      <c r="O24" s="119"/>
      <c r="P24" s="17"/>
      <c r="Q24" s="296" t="s">
        <v>21</v>
      </c>
    </row>
    <row r="25" spans="1:17">
      <c r="J25" s="542"/>
      <c r="K25" s="297" t="s">
        <v>794</v>
      </c>
      <c r="L25" s="294" t="s">
        <v>775</v>
      </c>
      <c r="M25" s="295">
        <v>36</v>
      </c>
      <c r="N25" s="296" t="s">
        <v>747</v>
      </c>
      <c r="O25" s="119"/>
      <c r="P25" s="17"/>
      <c r="Q25" s="296" t="s">
        <v>21</v>
      </c>
    </row>
    <row r="26" spans="1:17">
      <c r="J26" s="542"/>
      <c r="K26" s="297" t="s">
        <v>795</v>
      </c>
      <c r="L26" s="294" t="s">
        <v>775</v>
      </c>
      <c r="M26" s="295">
        <v>85</v>
      </c>
      <c r="N26" s="296" t="s">
        <v>747</v>
      </c>
      <c r="O26" s="119"/>
      <c r="P26" s="17"/>
      <c r="Q26" s="296" t="s">
        <v>21</v>
      </c>
    </row>
    <row r="27" spans="1:17">
      <c r="D27" s="281"/>
      <c r="J27" s="542"/>
      <c r="K27" s="297" t="s">
        <v>796</v>
      </c>
      <c r="L27" s="294" t="s">
        <v>775</v>
      </c>
      <c r="M27" s="295">
        <v>77.03</v>
      </c>
      <c r="N27" s="296" t="s">
        <v>747</v>
      </c>
      <c r="O27" s="119"/>
      <c r="P27" s="17"/>
      <c r="Q27" s="296" t="s">
        <v>21</v>
      </c>
    </row>
    <row r="28" spans="1:17">
      <c r="B28" s="282"/>
      <c r="J28" s="542"/>
      <c r="K28" s="297" t="s">
        <v>797</v>
      </c>
      <c r="L28" s="294" t="s">
        <v>775</v>
      </c>
      <c r="M28" s="295">
        <v>91.5</v>
      </c>
      <c r="N28" s="296" t="s">
        <v>747</v>
      </c>
      <c r="O28" s="119"/>
      <c r="P28" s="17"/>
      <c r="Q28" s="296" t="s">
        <v>21</v>
      </c>
    </row>
    <row r="29" spans="1:17">
      <c r="J29" s="542"/>
      <c r="K29" s="297" t="s">
        <v>798</v>
      </c>
      <c r="L29" s="294" t="s">
        <v>775</v>
      </c>
      <c r="M29" s="295">
        <v>85.3</v>
      </c>
      <c r="N29" s="296" t="s">
        <v>747</v>
      </c>
      <c r="O29" s="119"/>
      <c r="P29" s="17"/>
      <c r="Q29" s="296" t="s">
        <v>21</v>
      </c>
    </row>
    <row r="30" spans="1:17">
      <c r="J30" s="542"/>
      <c r="K30" s="297" t="s">
        <v>799</v>
      </c>
      <c r="L30" s="294" t="s">
        <v>775</v>
      </c>
      <c r="M30" s="295">
        <v>98.8</v>
      </c>
      <c r="N30" s="296" t="s">
        <v>747</v>
      </c>
      <c r="O30" s="119"/>
      <c r="P30" s="17"/>
      <c r="Q30" s="296" t="s">
        <v>21</v>
      </c>
    </row>
    <row r="31" spans="1:17">
      <c r="J31" s="542"/>
      <c r="K31" s="297" t="s">
        <v>800</v>
      </c>
      <c r="L31" s="294" t="s">
        <v>775</v>
      </c>
      <c r="M31" s="295">
        <v>67</v>
      </c>
      <c r="N31" s="296" t="s">
        <v>747</v>
      </c>
      <c r="O31" s="119"/>
      <c r="P31" s="17"/>
      <c r="Q31" s="296" t="s">
        <v>21</v>
      </c>
    </row>
    <row r="32" spans="1:17">
      <c r="J32" s="542"/>
      <c r="K32" s="297" t="s">
        <v>801</v>
      </c>
      <c r="L32" s="294" t="s">
        <v>775</v>
      </c>
      <c r="M32" s="295">
        <v>310</v>
      </c>
      <c r="N32" s="296" t="s">
        <v>747</v>
      </c>
      <c r="O32" s="119"/>
      <c r="P32" s="17"/>
      <c r="Q32" s="296" t="s">
        <v>21</v>
      </c>
    </row>
    <row r="33" spans="10:17">
      <c r="J33" s="542"/>
      <c r="K33" s="297" t="s">
        <v>802</v>
      </c>
      <c r="L33" s="294" t="s">
        <v>775</v>
      </c>
      <c r="M33" s="295">
        <v>86</v>
      </c>
      <c r="N33" s="296" t="s">
        <v>747</v>
      </c>
      <c r="O33" s="119"/>
      <c r="P33" s="17"/>
      <c r="Q33" s="296" t="s">
        <v>21</v>
      </c>
    </row>
    <row r="34" spans="10:17">
      <c r="J34" s="542"/>
      <c r="K34" s="297" t="s">
        <v>309</v>
      </c>
      <c r="L34" s="294" t="s">
        <v>775</v>
      </c>
      <c r="M34" s="295">
        <v>120</v>
      </c>
      <c r="N34" s="296" t="s">
        <v>747</v>
      </c>
      <c r="O34" s="119"/>
      <c r="P34" s="17"/>
      <c r="Q34" s="296" t="s">
        <v>21</v>
      </c>
    </row>
    <row r="35" spans="10:17">
      <c r="J35" s="542"/>
      <c r="K35" s="297" t="s">
        <v>803</v>
      </c>
      <c r="L35" s="294" t="s">
        <v>775</v>
      </c>
      <c r="M35" s="295">
        <v>125</v>
      </c>
      <c r="N35" s="296" t="s">
        <v>747</v>
      </c>
      <c r="O35" s="119"/>
      <c r="P35" s="17"/>
      <c r="Q35" s="296" t="s">
        <v>21</v>
      </c>
    </row>
    <row r="36" spans="10:17">
      <c r="J36" s="542"/>
      <c r="K36" s="297" t="s">
        <v>804</v>
      </c>
      <c r="L36" s="294" t="s">
        <v>775</v>
      </c>
      <c r="M36" s="295">
        <v>40</v>
      </c>
      <c r="N36" s="296" t="s">
        <v>747</v>
      </c>
      <c r="O36" s="119"/>
      <c r="P36" s="17"/>
      <c r="Q36" s="296" t="s">
        <v>21</v>
      </c>
    </row>
    <row r="37" spans="10:17" ht="60">
      <c r="J37" s="542"/>
      <c r="K37" s="297" t="s">
        <v>805</v>
      </c>
      <c r="L37" s="294" t="s">
        <v>775</v>
      </c>
      <c r="M37" s="295" t="s">
        <v>806</v>
      </c>
      <c r="N37" s="296" t="s">
        <v>747</v>
      </c>
      <c r="O37" s="119"/>
      <c r="P37" s="17"/>
      <c r="Q37" s="296" t="s">
        <v>21</v>
      </c>
    </row>
    <row r="38" spans="10:17">
      <c r="J38" s="542"/>
      <c r="K38" s="297" t="s">
        <v>807</v>
      </c>
      <c r="L38" s="294" t="s">
        <v>775</v>
      </c>
      <c r="M38" s="295">
        <v>40</v>
      </c>
      <c r="N38" s="296" t="s">
        <v>747</v>
      </c>
      <c r="O38" s="119"/>
      <c r="P38" s="17"/>
      <c r="Q38" s="296" t="s">
        <v>21</v>
      </c>
    </row>
    <row r="39" spans="10:17">
      <c r="J39" s="542"/>
      <c r="K39" s="297" t="s">
        <v>808</v>
      </c>
      <c r="L39" s="294" t="s">
        <v>775</v>
      </c>
      <c r="M39" s="295">
        <v>52</v>
      </c>
      <c r="N39" s="296" t="s">
        <v>747</v>
      </c>
      <c r="O39" s="119"/>
      <c r="P39" s="17"/>
      <c r="Q39" s="296" t="s">
        <v>21</v>
      </c>
    </row>
    <row r="40" spans="10:17">
      <c r="J40" s="542"/>
      <c r="K40" s="297" t="s">
        <v>809</v>
      </c>
      <c r="L40" s="294" t="s">
        <v>775</v>
      </c>
      <c r="M40" s="298">
        <v>470</v>
      </c>
      <c r="N40" s="296" t="s">
        <v>747</v>
      </c>
      <c r="O40" s="119"/>
      <c r="P40" s="299"/>
      <c r="Q40" s="296" t="s">
        <v>21</v>
      </c>
    </row>
    <row r="41" spans="10:17">
      <c r="J41" s="542"/>
      <c r="K41" s="297" t="s">
        <v>810</v>
      </c>
      <c r="L41" s="294" t="s">
        <v>775</v>
      </c>
      <c r="M41" s="298">
        <v>235</v>
      </c>
      <c r="N41" s="296" t="s">
        <v>747</v>
      </c>
      <c r="O41" s="119"/>
      <c r="P41" s="299"/>
      <c r="Q41" s="296" t="s">
        <v>21</v>
      </c>
    </row>
    <row r="42" spans="10:17">
      <c r="J42" s="542"/>
      <c r="K42" s="297" t="s">
        <v>811</v>
      </c>
      <c r="L42" s="294" t="s">
        <v>775</v>
      </c>
      <c r="M42" s="298">
        <v>470</v>
      </c>
      <c r="N42" s="296" t="s">
        <v>747</v>
      </c>
      <c r="O42" s="119"/>
      <c r="P42" s="299"/>
      <c r="Q42" s="296" t="s">
        <v>21</v>
      </c>
    </row>
    <row r="43" spans="10:17">
      <c r="J43" s="542"/>
      <c r="K43" s="297" t="s">
        <v>812</v>
      </c>
      <c r="L43" s="294" t="s">
        <v>775</v>
      </c>
      <c r="M43" s="298">
        <v>235</v>
      </c>
      <c r="N43" s="296" t="s">
        <v>747</v>
      </c>
      <c r="O43" s="119"/>
      <c r="P43" s="299"/>
      <c r="Q43" s="296" t="s">
        <v>21</v>
      </c>
    </row>
    <row r="44" spans="10:17">
      <c r="J44" s="542"/>
      <c r="K44" s="297" t="s">
        <v>813</v>
      </c>
      <c r="L44" s="294" t="s">
        <v>775</v>
      </c>
      <c r="M44" s="300">
        <v>1290</v>
      </c>
      <c r="N44" s="296" t="s">
        <v>747</v>
      </c>
      <c r="O44" s="119"/>
      <c r="P44" s="301"/>
      <c r="Q44" s="296" t="s">
        <v>21</v>
      </c>
    </row>
    <row r="45" spans="10:17">
      <c r="J45" s="542"/>
      <c r="K45" s="297" t="s">
        <v>814</v>
      </c>
      <c r="L45" s="294" t="s">
        <v>775</v>
      </c>
      <c r="M45" s="298">
        <v>645</v>
      </c>
      <c r="N45" s="296" t="s">
        <v>747</v>
      </c>
      <c r="O45" s="119"/>
      <c r="P45" s="299"/>
      <c r="Q45" s="296" t="s">
        <v>21</v>
      </c>
    </row>
    <row r="46" spans="10:17">
      <c r="J46" s="542"/>
      <c r="K46" s="297" t="s">
        <v>815</v>
      </c>
      <c r="L46" s="294" t="s">
        <v>775</v>
      </c>
      <c r="M46" s="298">
        <v>470</v>
      </c>
      <c r="N46" s="296" t="s">
        <v>747</v>
      </c>
      <c r="O46" s="119"/>
      <c r="P46" s="299"/>
      <c r="Q46" s="296" t="s">
        <v>21</v>
      </c>
    </row>
    <row r="47" spans="10:17">
      <c r="J47" s="542"/>
      <c r="K47" s="297" t="s">
        <v>816</v>
      </c>
      <c r="L47" s="294" t="s">
        <v>775</v>
      </c>
      <c r="M47" s="298">
        <v>235</v>
      </c>
      <c r="N47" s="296" t="s">
        <v>747</v>
      </c>
      <c r="O47" s="119"/>
      <c r="P47" s="299"/>
      <c r="Q47" s="296" t="s">
        <v>21</v>
      </c>
    </row>
    <row r="48" spans="10:17">
      <c r="J48" s="542"/>
      <c r="K48" s="297" t="s">
        <v>817</v>
      </c>
      <c r="L48" s="294" t="s">
        <v>775</v>
      </c>
      <c r="M48" s="298">
        <v>499.5</v>
      </c>
      <c r="N48" s="296" t="s">
        <v>747</v>
      </c>
      <c r="O48" s="119"/>
      <c r="P48" s="299"/>
      <c r="Q48" s="296" t="s">
        <v>21</v>
      </c>
    </row>
    <row r="49" spans="10:17">
      <c r="J49" s="542"/>
      <c r="K49" s="297" t="s">
        <v>818</v>
      </c>
      <c r="L49" s="294" t="s">
        <v>775</v>
      </c>
      <c r="M49" s="298">
        <v>249.75</v>
      </c>
      <c r="N49" s="296" t="s">
        <v>747</v>
      </c>
      <c r="O49" s="119"/>
      <c r="P49" s="299"/>
      <c r="Q49" s="296" t="s">
        <v>21</v>
      </c>
    </row>
    <row r="50" spans="10:17">
      <c r="J50" s="542"/>
      <c r="K50" s="297" t="s">
        <v>819</v>
      </c>
      <c r="L50" s="294" t="s">
        <v>775</v>
      </c>
      <c r="M50" s="298">
        <v>440</v>
      </c>
      <c r="N50" s="296" t="s">
        <v>747</v>
      </c>
      <c r="O50" s="119"/>
      <c r="P50" s="299"/>
      <c r="Q50" s="296" t="s">
        <v>21</v>
      </c>
    </row>
    <row r="51" spans="10:17">
      <c r="J51" s="542"/>
      <c r="K51" s="297" t="s">
        <v>820</v>
      </c>
      <c r="L51" s="294" t="s">
        <v>775</v>
      </c>
      <c r="M51" s="298">
        <v>220</v>
      </c>
      <c r="N51" s="296" t="s">
        <v>747</v>
      </c>
      <c r="O51" s="119"/>
      <c r="P51" s="299"/>
      <c r="Q51" s="296" t="s">
        <v>21</v>
      </c>
    </row>
    <row r="52" spans="10:17">
      <c r="J52" s="542"/>
      <c r="K52" s="297" t="s">
        <v>821</v>
      </c>
      <c r="L52" s="294" t="s">
        <v>775</v>
      </c>
      <c r="M52" s="295">
        <v>28</v>
      </c>
      <c r="N52" s="296" t="s">
        <v>747</v>
      </c>
      <c r="O52" s="119"/>
      <c r="P52" s="17"/>
      <c r="Q52" s="296" t="s">
        <v>21</v>
      </c>
    </row>
    <row r="53" spans="10:17">
      <c r="J53" s="542"/>
      <c r="K53" s="297" t="s">
        <v>788</v>
      </c>
      <c r="L53" s="294" t="s">
        <v>775</v>
      </c>
      <c r="M53" s="295">
        <v>85</v>
      </c>
      <c r="N53" s="296" t="s">
        <v>747</v>
      </c>
      <c r="O53" s="119"/>
      <c r="P53" s="17"/>
      <c r="Q53" s="296" t="s">
        <v>21</v>
      </c>
    </row>
    <row r="54" spans="10:17">
      <c r="J54" s="542"/>
      <c r="K54" s="297" t="s">
        <v>789</v>
      </c>
      <c r="L54" s="294" t="s">
        <v>775</v>
      </c>
      <c r="M54" s="295">
        <v>195</v>
      </c>
      <c r="N54" s="296" t="s">
        <v>747</v>
      </c>
      <c r="O54" s="119"/>
      <c r="P54" s="17"/>
      <c r="Q54" s="296" t="s">
        <v>21</v>
      </c>
    </row>
    <row r="55" spans="10:17">
      <c r="J55" s="542"/>
      <c r="K55" s="297" t="s">
        <v>790</v>
      </c>
      <c r="L55" s="294" t="s">
        <v>775</v>
      </c>
      <c r="M55" s="295">
        <v>90</v>
      </c>
      <c r="N55" s="296" t="s">
        <v>747</v>
      </c>
      <c r="O55" s="119"/>
      <c r="P55" s="17"/>
      <c r="Q55" s="296" t="s">
        <v>21</v>
      </c>
    </row>
    <row r="56" spans="10:17">
      <c r="J56" s="542"/>
      <c r="K56" s="297" t="s">
        <v>822</v>
      </c>
      <c r="L56" s="294" t="s">
        <v>775</v>
      </c>
      <c r="M56" s="295">
        <v>115</v>
      </c>
      <c r="N56" s="296" t="s">
        <v>747</v>
      </c>
      <c r="O56" s="119"/>
      <c r="P56" s="17"/>
      <c r="Q56" s="296" t="s">
        <v>21</v>
      </c>
    </row>
    <row r="57" spans="10:17">
      <c r="J57" s="542"/>
      <c r="K57" s="297" t="s">
        <v>792</v>
      </c>
      <c r="L57" s="294" t="s">
        <v>775</v>
      </c>
      <c r="M57" s="295">
        <v>395</v>
      </c>
      <c r="N57" s="296" t="s">
        <v>747</v>
      </c>
      <c r="O57" s="119"/>
      <c r="P57" s="17"/>
      <c r="Q57" s="296" t="s">
        <v>21</v>
      </c>
    </row>
    <row r="58" spans="10:17">
      <c r="J58" s="542"/>
      <c r="K58" s="297" t="s">
        <v>793</v>
      </c>
      <c r="L58" s="294" t="s">
        <v>775</v>
      </c>
      <c r="M58" s="295">
        <v>40</v>
      </c>
      <c r="N58" s="296" t="s">
        <v>747</v>
      </c>
      <c r="O58" s="119"/>
      <c r="P58" s="17"/>
      <c r="Q58" s="296" t="s">
        <v>21</v>
      </c>
    </row>
    <row r="59" spans="10:17">
      <c r="J59" s="542"/>
      <c r="K59" s="297" t="s">
        <v>823</v>
      </c>
      <c r="L59" s="294" t="s">
        <v>775</v>
      </c>
      <c r="M59" s="295">
        <v>36</v>
      </c>
      <c r="N59" s="296" t="s">
        <v>747</v>
      </c>
      <c r="O59" s="119"/>
      <c r="P59" s="17"/>
      <c r="Q59" s="296" t="s">
        <v>21</v>
      </c>
    </row>
    <row r="60" spans="10:17">
      <c r="J60" s="542"/>
      <c r="K60" s="297" t="s">
        <v>824</v>
      </c>
      <c r="L60" s="294" t="s">
        <v>775</v>
      </c>
      <c r="M60" s="295">
        <v>85</v>
      </c>
      <c r="N60" s="296" t="s">
        <v>747</v>
      </c>
      <c r="O60" s="119"/>
      <c r="P60" s="17"/>
      <c r="Q60" s="296" t="s">
        <v>21</v>
      </c>
    </row>
    <row r="61" spans="10:17">
      <c r="J61" s="542"/>
      <c r="K61" s="297" t="s">
        <v>825</v>
      </c>
      <c r="L61" s="294" t="s">
        <v>775</v>
      </c>
      <c r="M61" s="295">
        <v>77.03</v>
      </c>
      <c r="N61" s="296" t="s">
        <v>747</v>
      </c>
      <c r="O61" s="119"/>
      <c r="P61" s="17"/>
      <c r="Q61" s="296" t="s">
        <v>21</v>
      </c>
    </row>
    <row r="62" spans="10:17">
      <c r="J62" s="542"/>
      <c r="K62" s="297" t="s">
        <v>826</v>
      </c>
      <c r="L62" s="294" t="s">
        <v>775</v>
      </c>
      <c r="M62" s="295">
        <v>91.5</v>
      </c>
      <c r="N62" s="296" t="s">
        <v>747</v>
      </c>
      <c r="O62" s="119"/>
      <c r="P62" s="17"/>
      <c r="Q62" s="296" t="s">
        <v>21</v>
      </c>
    </row>
    <row r="63" spans="10:17">
      <c r="J63" s="542"/>
      <c r="K63" s="297" t="s">
        <v>827</v>
      </c>
      <c r="L63" s="294" t="s">
        <v>775</v>
      </c>
      <c r="M63" s="295">
        <v>85.3</v>
      </c>
      <c r="N63" s="296" t="s">
        <v>747</v>
      </c>
      <c r="O63" s="119"/>
      <c r="P63" s="17"/>
      <c r="Q63" s="296" t="s">
        <v>21</v>
      </c>
    </row>
    <row r="64" spans="10:17">
      <c r="J64" s="542"/>
      <c r="K64" s="297" t="s">
        <v>828</v>
      </c>
      <c r="L64" s="294" t="s">
        <v>775</v>
      </c>
      <c r="M64" s="295">
        <v>98.8</v>
      </c>
      <c r="N64" s="296" t="s">
        <v>747</v>
      </c>
      <c r="O64" s="119"/>
      <c r="P64" s="17"/>
      <c r="Q64" s="296" t="s">
        <v>21</v>
      </c>
    </row>
    <row r="65" spans="10:17">
      <c r="J65" s="542"/>
      <c r="K65" s="297" t="s">
        <v>829</v>
      </c>
      <c r="L65" s="294" t="s">
        <v>775</v>
      </c>
      <c r="M65" s="295">
        <v>67</v>
      </c>
      <c r="N65" s="296" t="s">
        <v>747</v>
      </c>
      <c r="O65" s="119"/>
      <c r="P65" s="17"/>
      <c r="Q65" s="296" t="s">
        <v>21</v>
      </c>
    </row>
    <row r="66" spans="10:17">
      <c r="J66" s="542"/>
      <c r="K66" s="297" t="s">
        <v>830</v>
      </c>
      <c r="L66" s="294" t="s">
        <v>775</v>
      </c>
      <c r="M66" s="295">
        <v>310</v>
      </c>
      <c r="N66" s="296" t="s">
        <v>747</v>
      </c>
      <c r="O66" s="119"/>
      <c r="P66" s="17"/>
      <c r="Q66" s="296" t="s">
        <v>21</v>
      </c>
    </row>
    <row r="67" spans="10:17">
      <c r="J67" s="542"/>
      <c r="K67" s="297" t="s">
        <v>831</v>
      </c>
      <c r="L67" s="294" t="s">
        <v>775</v>
      </c>
      <c r="M67" s="295">
        <v>86</v>
      </c>
      <c r="N67" s="296" t="s">
        <v>747</v>
      </c>
      <c r="O67" s="119"/>
      <c r="P67" s="17"/>
      <c r="Q67" s="296" t="s">
        <v>21</v>
      </c>
    </row>
    <row r="68" spans="10:17">
      <c r="J68" s="542"/>
      <c r="K68" s="297" t="s">
        <v>832</v>
      </c>
      <c r="L68" s="294" t="s">
        <v>775</v>
      </c>
      <c r="M68" s="295">
        <v>120</v>
      </c>
      <c r="N68" s="296" t="s">
        <v>747</v>
      </c>
      <c r="O68" s="119"/>
      <c r="P68" s="17"/>
      <c r="Q68" s="296" t="s">
        <v>21</v>
      </c>
    </row>
    <row r="69" spans="10:17">
      <c r="J69" s="542"/>
      <c r="K69" s="297" t="s">
        <v>833</v>
      </c>
      <c r="L69" s="294" t="s">
        <v>775</v>
      </c>
      <c r="M69" s="295">
        <v>125</v>
      </c>
      <c r="N69" s="296" t="s">
        <v>747</v>
      </c>
      <c r="O69" s="119"/>
      <c r="P69" s="17"/>
      <c r="Q69" s="296" t="s">
        <v>21</v>
      </c>
    </row>
    <row r="70" spans="10:17">
      <c r="J70" s="542"/>
      <c r="K70" s="297" t="s">
        <v>804</v>
      </c>
      <c r="L70" s="294" t="s">
        <v>775</v>
      </c>
      <c r="M70" s="295">
        <v>40</v>
      </c>
      <c r="N70" s="296" t="s">
        <v>747</v>
      </c>
      <c r="O70" s="119"/>
      <c r="P70" s="17"/>
      <c r="Q70" s="296" t="s">
        <v>21</v>
      </c>
    </row>
    <row r="71" spans="10:17" ht="60">
      <c r="J71" s="542"/>
      <c r="K71" s="297" t="s">
        <v>805</v>
      </c>
      <c r="L71" s="294" t="s">
        <v>775</v>
      </c>
      <c r="M71" s="295" t="s">
        <v>806</v>
      </c>
      <c r="N71" s="296" t="s">
        <v>747</v>
      </c>
      <c r="O71" s="119"/>
      <c r="P71" s="17"/>
      <c r="Q71" s="296" t="s">
        <v>21</v>
      </c>
    </row>
    <row r="72" spans="10:17">
      <c r="J72" s="542"/>
      <c r="K72" s="297" t="s">
        <v>834</v>
      </c>
      <c r="L72" s="294" t="s">
        <v>775</v>
      </c>
      <c r="M72" s="295">
        <v>40</v>
      </c>
      <c r="N72" s="296" t="s">
        <v>747</v>
      </c>
      <c r="O72" s="119"/>
      <c r="P72" s="17"/>
      <c r="Q72" s="296" t="s">
        <v>21</v>
      </c>
    </row>
    <row r="73" spans="10:17" ht="15.75" thickBot="1">
      <c r="J73" s="543"/>
      <c r="K73" s="302" t="s">
        <v>835</v>
      </c>
      <c r="L73" s="303" t="s">
        <v>775</v>
      </c>
      <c r="M73" s="304">
        <v>52</v>
      </c>
      <c r="N73" s="305" t="s">
        <v>747</v>
      </c>
      <c r="O73" s="123"/>
      <c r="P73" s="306"/>
      <c r="Q73" s="305" t="s">
        <v>21</v>
      </c>
    </row>
  </sheetData>
  <mergeCells count="2">
    <mergeCell ref="C2:E2"/>
    <mergeCell ref="J2:J7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d8370e1-dc64-4f8e-8ba7-2c6086c5aa89" xsi:nil="true"/>
    <lcf76f155ced4ddcb4097134ff3c332f xmlns="7e9756ad-2e0a-4283-9d30-0699e780e99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33F44EAC2C1224FB606E663BA62C810" ma:contentTypeVersion="16" ma:contentTypeDescription="Crear nuevo documento." ma:contentTypeScope="" ma:versionID="8d24e9ebe34fd3ccd0f1ad717e19ac46">
  <xsd:schema xmlns:xsd="http://www.w3.org/2001/XMLSchema" xmlns:xs="http://www.w3.org/2001/XMLSchema" xmlns:p="http://schemas.microsoft.com/office/2006/metadata/properties" xmlns:ns2="7e9756ad-2e0a-4283-9d30-0699e780e997" xmlns:ns3="ed8370e1-dc64-4f8e-8ba7-2c6086c5aa89" targetNamespace="http://schemas.microsoft.com/office/2006/metadata/properties" ma:root="true" ma:fieldsID="a758ea18c8d47e1a283cbb35414d06c3" ns2:_="" ns3:_="">
    <xsd:import namespace="7e9756ad-2e0a-4283-9d30-0699e780e997"/>
    <xsd:import namespace="ed8370e1-dc64-4f8e-8ba7-2c6086c5aa8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SearchProperties"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9756ad-2e0a-4283-9d30-0699e780e9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9e067549-5ce8-4eb5-869d-2a22d1be2034"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8370e1-dc64-4f8e-8ba7-2c6086c5aa8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4b9418b-a6f3-4890-9fdc-c41c09ac6637}" ma:internalName="TaxCatchAll" ma:showField="CatchAllData" ma:web="ed8370e1-dc64-4f8e-8ba7-2c6086c5aa8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8AB9DB-56A9-492A-B4E3-EFBD908397CC}">
  <ds:schemaRefs>
    <ds:schemaRef ds:uri="http://schemas.microsoft.com/sharepoint/v3/contenttype/forms"/>
  </ds:schemaRefs>
</ds:datastoreItem>
</file>

<file path=customXml/itemProps2.xml><?xml version="1.0" encoding="utf-8"?>
<ds:datastoreItem xmlns:ds="http://schemas.openxmlformats.org/officeDocument/2006/customXml" ds:itemID="{0A97561F-E57C-40D2-8667-DA2800B56BB2}">
  <ds:schemaRefs>
    <ds:schemaRef ds:uri="http://schemas.microsoft.com/office/2006/metadata/properties"/>
    <ds:schemaRef ds:uri="http://schemas.microsoft.com/office/infopath/2007/PartnerControls"/>
    <ds:schemaRef ds:uri="ed8370e1-dc64-4f8e-8ba7-2c6086c5aa89"/>
    <ds:schemaRef ds:uri="7e9756ad-2e0a-4283-9d30-0699e780e997"/>
  </ds:schemaRefs>
</ds:datastoreItem>
</file>

<file path=customXml/itemProps3.xml><?xml version="1.0" encoding="utf-8"?>
<ds:datastoreItem xmlns:ds="http://schemas.openxmlformats.org/officeDocument/2006/customXml" ds:itemID="{2C9F42D0-C14D-49DD-B9F1-2A79154B3C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9756ad-2e0a-4283-9d30-0699e780e997"/>
    <ds:schemaRef ds:uri="ed8370e1-dc64-4f8e-8ba7-2c6086c5aa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Planner</vt:lpstr>
      <vt:lpstr>Vendors</vt:lpstr>
      <vt:lpstr>Hotel</vt:lpstr>
      <vt:lpstr>Invoice</vt:lpstr>
      <vt:lpstr>Data</vt:lpstr>
      <vt:lpstr>BEO</vt:lpstr>
      <vt:lpstr>Data Ficha</vt:lpstr>
      <vt:lpstr>Bridal</vt:lpstr>
      <vt:lpstr>Churchill</vt:lpstr>
      <vt:lpstr>Room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C. Quevedo</dc:creator>
  <cp:lastModifiedBy>Thania Carolina Alvarez</cp:lastModifiedBy>
  <cp:lastPrinted>2025-11-11T17:58:57Z</cp:lastPrinted>
  <dcterms:created xsi:type="dcterms:W3CDTF">2025-10-09T21:24:49Z</dcterms:created>
  <dcterms:modified xsi:type="dcterms:W3CDTF">2026-03-27T22:37:13Z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0x010100833F44EAC2C1224FB606E663BA62C810</vt:lpwstr>
  </property>
  <property fmtid="{D5CDD505-2E9C-101B-9397-08002B2CF9AE}" pid="3" name="MediaServiceImageTags">
    <vt:lpwstr/>
  </property>
</Properties>
</file>